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<sst xmlns="http://schemas.openxmlformats.org/spreadsheetml/2006/main" count="75" uniqueCount="72">
  <si>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</si>
  <si>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</si>
  <si>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</si>
  <si>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</si>
  <si>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</si>
  <si>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</si>
  <si>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</si>
  <si>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</si>
  <si>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</si>
  <si>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</si>
  <si>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</si>
  <si>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</si>
  <si>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</si>
  <si>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</si>
  <si>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</si>
  <si>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</si>
  <si>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</si>
  <si>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</si>
  <si>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</si>
  <si>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</si>
  <si>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</si>
  <si>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</si>
  <si>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</si>
  <si>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</si>
  <si>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</si>
  <si>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</si>
  <si>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</si>
  <si>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</si>
  <si>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</si>
  <si>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</si>
  <si>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</si>
  <si>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</si>
  <si>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</si>
  <si>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</si>
  <si>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</si>
  <si>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</si>
  <si>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</si>
  <si>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</si>
  <si>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</si>
  <si>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</si>
  <si>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</si>
  <si>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</si>
  <si>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</si>
  <si>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</si>
  <si>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</si>
  <si>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</si>
  <si>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</si>
  <si>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</si>
  <si>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</si>
  <si>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</si>
  <si>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</si>
  <si>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</si>
  <si>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</si>
  <si>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PARDINES - BALANDRAU - QUERALBS</t>
  </si>
  <si>
    <t>pardines</t>
  </si>
  <si>
    <t>creuement camí-pista</t>
  </si>
  <si>
    <t>puig cerverís</t>
  </si>
  <si>
    <t>seguim un tros pista i tonem al camí</t>
  </si>
  <si>
    <t>coll</t>
  </si>
  <si>
    <t>puig rodonell</t>
  </si>
  <si>
    <t>coll de la canya</t>
  </si>
  <si>
    <t>coll dels llenyassers</t>
  </si>
  <si>
    <t>Balandrau</t>
  </si>
  <si>
    <t xml:space="preserve">coll del tres pics </t>
  </si>
  <si>
    <t>refugi coma de vaca</t>
  </si>
  <si>
    <t>a partir d'aquí anem carenant</t>
  </si>
  <si>
    <t>pont 1 gorgues freser</t>
  </si>
  <si>
    <t>central baix</t>
  </si>
  <si>
    <t>central de les lelles (final)</t>
  </si>
  <si>
    <t>pont Daió</t>
  </si>
  <si>
    <t>font de la costa rubí</t>
  </si>
  <si>
    <t>seguir camí final del poble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</si>
</sst>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1500</c:v>
                </c:pt>
                <c:pt idx="2">
                  <c:v>3125</c:v>
                </c:pt>
                <c:pt idx="3">
                  <c:v>3375</c:v>
                </c:pt>
                <c:pt idx="4">
                  <c:v>3500</c:v>
                </c:pt>
                <c:pt idx="5">
                  <c:v>5125</c:v>
                </c:pt>
                <c:pt idx="6">
                  <c:v>5750</c:v>
                </c:pt>
                <c:pt idx="7">
                  <c:v>7000</c:v>
                </c:pt>
                <c:pt idx="8">
                  <c:v>7375</c:v>
                </c:pt>
                <c:pt idx="9">
                  <c:v>8000</c:v>
                </c:pt>
                <c:pt idx="10">
                  <c:v>10250</c:v>
                </c:pt>
                <c:pt idx="11">
                  <c:v>12750</c:v>
                </c:pt>
                <c:pt idx="12">
                  <c:v>15250</c:v>
                </c:pt>
                <c:pt idx="13">
                  <c:v>16125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1230</c:v>
                </c:pt>
                <c:pt idx="1">
                  <c:v>1780</c:v>
                </c:pt>
                <c:pt idx="2">
                  <c:v>2206</c:v>
                </c:pt>
                <c:pt idx="3">
                  <c:v>2157</c:v>
                </c:pt>
                <c:pt idx="4">
                  <c:v>2164</c:v>
                </c:pt>
                <c:pt idx="5">
                  <c:v>2219</c:v>
                </c:pt>
                <c:pt idx="6">
                  <c:v>2290</c:v>
                </c:pt>
                <c:pt idx="7">
                  <c:v>2584</c:v>
                </c:pt>
                <c:pt idx="8">
                  <c:v>2495</c:v>
                </c:pt>
                <c:pt idx="9">
                  <c:v>2396</c:v>
                </c:pt>
                <c:pt idx="10">
                  <c:v>1995</c:v>
                </c:pt>
                <c:pt idx="11">
                  <c:v>1540</c:v>
                </c:pt>
                <c:pt idx="12">
                  <c:v>1200</c:v>
                </c:pt>
                <c:pt idx="13">
                  <c:v>1140</c:v>
                </c:pt>
              </c:numCache>
            </c:numRef>
          </c:yVal>
          <c:smooth val="1"/>
        </c:ser>
        <c:axId val="27131786"/>
        <c:axId val="17168899"/>
      </c:scatterChart>
      <c:valAx>
        <c:axId val="27131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68899"/>
        <c:crosses val="autoZero"/>
        <c:crossBetween val="midCat"/>
        <c:dispUnits/>
      </c:valAx>
      <c:valAx>
        <c:axId val="17168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131786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L8" sqref="L8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9" t="s">
        <v>0</v>
      </c>
      <c r="C3" s="58" t="s">
        <v>53</v>
      </c>
      <c r="D3" s="59"/>
      <c r="E3" s="59"/>
      <c r="F3" s="59"/>
      <c r="G3" s="59"/>
      <c r="H3" s="59"/>
      <c r="I3" s="59"/>
      <c r="J3" s="59"/>
      <c r="K3" s="60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pardines</v>
      </c>
      <c r="E6" s="56">
        <f>C7</f>
        <v>1230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1230</v>
      </c>
      <c r="D7" s="11" t="s">
        <v>55</v>
      </c>
      <c r="E7" s="12">
        <v>1780</v>
      </c>
      <c r="F7" s="13">
        <v>22</v>
      </c>
      <c r="G7" s="14">
        <f>E7-C7</f>
        <v>550</v>
      </c>
      <c r="H7" s="12">
        <v>1500</v>
      </c>
      <c r="I7" s="14">
        <f>IF(G7&gt;=0,O7*(100+Instruccions!B33)/100,(O7*2/3)*(100+Instruccions!B33)/100)</f>
        <v>118.95</v>
      </c>
      <c r="J7" s="14">
        <f>I7</f>
        <v>118.95</v>
      </c>
      <c r="K7" s="19"/>
      <c r="L7" s="15" t="s">
        <v>71</v>
      </c>
      <c r="M7" s="42">
        <f>(ABS(G7)/Instruccions!B31*60)</f>
        <v>82.5</v>
      </c>
      <c r="N7" s="43">
        <f>(H7/Instruccions!B32*60)</f>
        <v>18</v>
      </c>
      <c r="O7" s="43">
        <f>IF(M7&gt;=N7,M7+(N7/2),N7+(M7/2))</f>
        <v>91.5</v>
      </c>
      <c r="P7" s="44">
        <f>H7</f>
        <v>1500</v>
      </c>
    </row>
    <row r="8" spans="2:16" ht="19.5" customHeight="1">
      <c r="B8" s="16" t="str">
        <f>IF(D7="","",IF(ISERROR(SEARCH("Final",D7))=TRUE,D7,""))</f>
        <v>creuement camí-pista</v>
      </c>
      <c r="C8" s="17">
        <f aca="true" t="shared" si="0" ref="C8:C16">IF(B8="",0,E7)</f>
        <v>1780</v>
      </c>
      <c r="D8" s="11" t="s">
        <v>56</v>
      </c>
      <c r="E8" s="12">
        <v>2206</v>
      </c>
      <c r="F8" s="13">
        <v>4</v>
      </c>
      <c r="G8" s="14">
        <f>E8-C8</f>
        <v>426</v>
      </c>
      <c r="H8" s="12">
        <v>1625</v>
      </c>
      <c r="I8" s="14">
        <f>IF(G8&gt;=0,O8*(100+Instruccions!B34)/100,(O8*2/3)*(100+Instruccions!B34)/100)</f>
        <v>73.65</v>
      </c>
      <c r="J8" s="21">
        <f aca="true" t="shared" si="1" ref="J8:J26">IF(I8=0,0,I8+J7)</f>
        <v>192.60000000000002</v>
      </c>
      <c r="K8" s="19"/>
      <c r="L8" s="15" t="s">
        <v>57</v>
      </c>
      <c r="M8" s="42">
        <f>(ABS(G8)/Instruccions!B31*60)</f>
        <v>63.9</v>
      </c>
      <c r="N8" s="43">
        <f>(H8/Instruccions!B32*60)</f>
        <v>19.5</v>
      </c>
      <c r="O8" s="43">
        <f aca="true" t="shared" si="2" ref="O8:O26">IF(M8&gt;=N8,M8+(N8/2),N8+(M8/2))</f>
        <v>73.65</v>
      </c>
      <c r="P8" s="44">
        <f aca="true" t="shared" si="3" ref="P8:P26">IF(H8=0,NA(),H8+P7)</f>
        <v>3125</v>
      </c>
    </row>
    <row r="9" spans="2:16" ht="19.5" customHeight="1">
      <c r="B9" s="16" t="str">
        <f aca="true" t="shared" si="4" ref="B9:B26">IF(D8="","",IF(ISERROR(SEARCH("Final",D8))=TRUE,D8,""))</f>
        <v>puig cerverís</v>
      </c>
      <c r="C9" s="17">
        <f t="shared" si="0"/>
        <v>2206</v>
      </c>
      <c r="D9" s="18" t="s">
        <v>58</v>
      </c>
      <c r="E9" s="19">
        <v>2157</v>
      </c>
      <c r="F9" s="20">
        <v>334</v>
      </c>
      <c r="G9" s="21">
        <f aca="true" t="shared" si="5" ref="G9:G26">E9-C9</f>
        <v>-49</v>
      </c>
      <c r="H9" s="19">
        <v>250</v>
      </c>
      <c r="I9" s="21">
        <f>IF(G9&gt;=0,O9*(100+Instruccions!B33)/100,(O9*2/3)*(100+Instruccions!B33)/100)</f>
        <v>7.669999999999999</v>
      </c>
      <c r="J9" s="21">
        <f t="shared" si="1"/>
        <v>200.27</v>
      </c>
      <c r="K9" s="19"/>
      <c r="L9" s="22" t="s">
        <v>65</v>
      </c>
      <c r="M9" s="42">
        <f>(ABS(G9)/Instruccions!B31*60)</f>
        <v>7.35</v>
      </c>
      <c r="N9" s="43">
        <f>(H9/Instruccions!B32*60)</f>
        <v>3</v>
      </c>
      <c r="O9" s="43">
        <f t="shared" si="2"/>
        <v>8.85</v>
      </c>
      <c r="P9" s="44">
        <f t="shared" si="3"/>
        <v>3375</v>
      </c>
    </row>
    <row r="10" spans="2:16" ht="19.5" customHeight="1">
      <c r="B10" s="16" t="str">
        <f t="shared" si="4"/>
        <v>coll</v>
      </c>
      <c r="C10" s="17">
        <f t="shared" si="0"/>
        <v>2157</v>
      </c>
      <c r="D10" s="18" t="s">
        <v>59</v>
      </c>
      <c r="E10" s="19">
        <v>2164</v>
      </c>
      <c r="F10" s="20">
        <v>334</v>
      </c>
      <c r="G10" s="21">
        <f t="shared" si="5"/>
        <v>7</v>
      </c>
      <c r="H10" s="19">
        <v>125</v>
      </c>
      <c r="I10" s="21">
        <f>IF(G10&gt;=0,O10*(100+Instruccions!B33)/100,(O10*2/3)*(100+Instruccions!B33)/100)</f>
        <v>2.6325</v>
      </c>
      <c r="J10" s="21">
        <f t="shared" si="1"/>
        <v>202.9025</v>
      </c>
      <c r="K10" s="19"/>
      <c r="L10" s="22"/>
      <c r="M10" s="42">
        <f>(ABS(G10)/Instruccions!B31*60)</f>
        <v>1.05</v>
      </c>
      <c r="N10" s="43">
        <f>(H10/Instruccions!B32*60)</f>
        <v>1.5</v>
      </c>
      <c r="O10" s="43">
        <f t="shared" si="2"/>
        <v>2.025</v>
      </c>
      <c r="P10" s="44">
        <f t="shared" si="3"/>
        <v>3500</v>
      </c>
    </row>
    <row r="11" spans="2:16" ht="19.5" customHeight="1">
      <c r="B11" s="16" t="str">
        <f t="shared" si="4"/>
        <v>puig rodonell</v>
      </c>
      <c r="C11" s="17">
        <f t="shared" si="0"/>
        <v>2164</v>
      </c>
      <c r="D11" s="18" t="s">
        <v>60</v>
      </c>
      <c r="E11" s="19">
        <v>2219</v>
      </c>
      <c r="F11" s="20">
        <v>4</v>
      </c>
      <c r="G11" s="21">
        <f t="shared" si="5"/>
        <v>55</v>
      </c>
      <c r="H11" s="19">
        <v>1625</v>
      </c>
      <c r="I11" s="21">
        <f>IF(G11&gt;=0,O11*(100+Instruccions!B33)/100,(O11*2/3)*(100+Instruccions!B33)/100)</f>
        <v>30.7125</v>
      </c>
      <c r="J11" s="21">
        <f t="shared" si="1"/>
        <v>233.615</v>
      </c>
      <c r="K11" s="19"/>
      <c r="L11" s="22"/>
      <c r="M11" s="42">
        <f>(ABS(G11)/Instruccions!B31*60)</f>
        <v>8.25</v>
      </c>
      <c r="N11" s="43">
        <f>(H11/Instruccions!B32*60)</f>
        <v>19.5</v>
      </c>
      <c r="O11" s="43">
        <f t="shared" si="2"/>
        <v>23.625</v>
      </c>
      <c r="P11" s="44">
        <f t="shared" si="3"/>
        <v>5125</v>
      </c>
    </row>
    <row r="12" spans="2:16" ht="19.5" customHeight="1">
      <c r="B12" s="16" t="str">
        <f t="shared" si="4"/>
        <v>coll de la canya</v>
      </c>
      <c r="C12" s="17">
        <f t="shared" si="0"/>
        <v>2219</v>
      </c>
      <c r="D12" s="18" t="s">
        <v>61</v>
      </c>
      <c r="E12" s="19">
        <v>2290</v>
      </c>
      <c r="F12" s="20">
        <v>4</v>
      </c>
      <c r="G12" s="21">
        <f t="shared" si="5"/>
        <v>71</v>
      </c>
      <c r="H12" s="19">
        <v>625</v>
      </c>
      <c r="I12" s="21">
        <f>IF(G12&gt;=0,O12*(100+Instruccions!B33)/100,(O12*2/3)*(100+Instruccions!B33)/100)</f>
        <v>18.72</v>
      </c>
      <c r="J12" s="21">
        <f t="shared" si="1"/>
        <v>252.335</v>
      </c>
      <c r="K12" s="19"/>
      <c r="L12" s="22"/>
      <c r="M12" s="42">
        <f>(ABS(G12)/Instruccions!B31*60)</f>
        <v>10.649999999999999</v>
      </c>
      <c r="N12" s="43">
        <f>(H12/Instruccions!B32*60)</f>
        <v>7.5</v>
      </c>
      <c r="O12" s="43">
        <f t="shared" si="2"/>
        <v>14.399999999999999</v>
      </c>
      <c r="P12" s="44">
        <f t="shared" si="3"/>
        <v>5750</v>
      </c>
    </row>
    <row r="13" spans="2:16" ht="19.5" customHeight="1">
      <c r="B13" s="16" t="str">
        <f t="shared" si="4"/>
        <v>coll dels llenyassers</v>
      </c>
      <c r="C13" s="17">
        <f t="shared" si="0"/>
        <v>2290</v>
      </c>
      <c r="D13" s="18" t="s">
        <v>62</v>
      </c>
      <c r="E13" s="19">
        <v>2584</v>
      </c>
      <c r="F13" s="20">
        <v>350</v>
      </c>
      <c r="G13" s="21">
        <f t="shared" si="5"/>
        <v>294</v>
      </c>
      <c r="H13" s="19">
        <v>1250</v>
      </c>
      <c r="I13" s="21">
        <f>IF(G13&gt;=0,O13*(100+Instruccions!B33)/100,(O13*2/3)*(100+Instruccions!B33)/100)</f>
        <v>67.08</v>
      </c>
      <c r="J13" s="21">
        <f t="shared" si="1"/>
        <v>319.415</v>
      </c>
      <c r="K13" s="19"/>
      <c r="L13" s="22"/>
      <c r="M13" s="42">
        <f>(ABS(G13)/Instruccions!B31*60)</f>
        <v>44.1</v>
      </c>
      <c r="N13" s="43">
        <f>(H13/Instruccions!B32*60)</f>
        <v>15</v>
      </c>
      <c r="O13" s="43">
        <f t="shared" si="2"/>
        <v>51.6</v>
      </c>
      <c r="P13" s="44">
        <f t="shared" si="3"/>
        <v>7000</v>
      </c>
    </row>
    <row r="14" spans="2:16" ht="19.5" customHeight="1">
      <c r="B14" s="16" t="str">
        <f t="shared" si="4"/>
        <v>Balandrau</v>
      </c>
      <c r="C14" s="17">
        <f t="shared" si="0"/>
        <v>2584</v>
      </c>
      <c r="D14" s="18" t="s">
        <v>58</v>
      </c>
      <c r="E14" s="19">
        <v>2495</v>
      </c>
      <c r="F14" s="20">
        <v>60</v>
      </c>
      <c r="G14" s="21">
        <f t="shared" si="5"/>
        <v>-89</v>
      </c>
      <c r="H14" s="19">
        <v>375</v>
      </c>
      <c r="I14" s="21">
        <f>IF(G14&gt;=0,O14*(100+Instruccions!B33)/100,(O14*2/3)*(100+Instruccions!B33)/100)</f>
        <v>13.52</v>
      </c>
      <c r="J14" s="21">
        <f t="shared" si="1"/>
        <v>332.935</v>
      </c>
      <c r="K14" s="19"/>
      <c r="L14" s="22"/>
      <c r="M14" s="42">
        <f>(ABS(G14)/Instruccions!B31*60)</f>
        <v>13.35</v>
      </c>
      <c r="N14" s="43">
        <f>(H14/Instruccions!B32*60)</f>
        <v>4.5</v>
      </c>
      <c r="O14" s="43">
        <f t="shared" si="2"/>
        <v>15.6</v>
      </c>
      <c r="P14" s="44">
        <f t="shared" si="3"/>
        <v>7375</v>
      </c>
    </row>
    <row r="15" spans="2:16" ht="19.5" customHeight="1">
      <c r="B15" s="16" t="str">
        <f t="shared" si="4"/>
        <v>coll</v>
      </c>
      <c r="C15" s="17">
        <f t="shared" si="0"/>
        <v>2495</v>
      </c>
      <c r="D15" s="18" t="s">
        <v>63</v>
      </c>
      <c r="E15" s="19">
        <v>2396</v>
      </c>
      <c r="F15" s="20">
        <v>48</v>
      </c>
      <c r="G15" s="21">
        <f t="shared" si="5"/>
        <v>-99</v>
      </c>
      <c r="H15" s="19">
        <v>625</v>
      </c>
      <c r="I15" s="21">
        <f>IF(G15&gt;=0,O15*(100+Instruccions!B33)/100,(O15*2/3)*(100+Instruccions!B33)/100)</f>
        <v>16.12</v>
      </c>
      <c r="J15" s="21">
        <f t="shared" si="1"/>
        <v>349.055</v>
      </c>
      <c r="K15" s="19"/>
      <c r="L15" s="22"/>
      <c r="M15" s="42">
        <f>(ABS(G15)/Instruccions!B31*60)</f>
        <v>14.85</v>
      </c>
      <c r="N15" s="43">
        <f>(H15/Instruccions!B32*60)</f>
        <v>7.5</v>
      </c>
      <c r="O15" s="43">
        <f t="shared" si="2"/>
        <v>18.6</v>
      </c>
      <c r="P15" s="44">
        <f t="shared" si="3"/>
        <v>8000</v>
      </c>
    </row>
    <row r="16" spans="2:16" ht="19.5" customHeight="1">
      <c r="B16" s="16" t="str">
        <f t="shared" si="4"/>
        <v>coll del tres pics </v>
      </c>
      <c r="C16" s="17">
        <f t="shared" si="0"/>
        <v>2396</v>
      </c>
      <c r="D16" s="18" t="s">
        <v>64</v>
      </c>
      <c r="E16" s="19">
        <v>1995</v>
      </c>
      <c r="F16" s="20">
        <v>324</v>
      </c>
      <c r="G16" s="21">
        <f t="shared" si="5"/>
        <v>-401</v>
      </c>
      <c r="H16" s="19">
        <v>2250</v>
      </c>
      <c r="I16" s="21">
        <f>IF(G16&gt;=0,O16*(100+Instruccions!B33)/100,(O16*2/3)*(100+Instruccions!B33)/100)</f>
        <v>63.83</v>
      </c>
      <c r="J16" s="21">
        <f t="shared" si="1"/>
        <v>412.885</v>
      </c>
      <c r="K16" s="19"/>
      <c r="L16" s="22"/>
      <c r="M16" s="42">
        <f>(ABS(G16)/Instruccions!B31*60)</f>
        <v>60.15</v>
      </c>
      <c r="N16" s="43">
        <f>(H16/Instruccions!B32*60)</f>
        <v>27</v>
      </c>
      <c r="O16" s="43">
        <f t="shared" si="2"/>
        <v>73.65</v>
      </c>
      <c r="P16" s="44">
        <f t="shared" si="3"/>
        <v>10250</v>
      </c>
    </row>
    <row r="17" spans="2:16" ht="19.5" customHeight="1">
      <c r="B17" s="16" t="str">
        <f t="shared" si="4"/>
        <v>refugi coma de vaca</v>
      </c>
      <c r="C17" s="17">
        <f>IF(B17="",0,E16)</f>
        <v>1995</v>
      </c>
      <c r="D17" s="20" t="s">
        <v>66</v>
      </c>
      <c r="E17" s="19">
        <v>1540</v>
      </c>
      <c r="F17" s="20">
        <v>238</v>
      </c>
      <c r="G17" s="21">
        <f t="shared" si="5"/>
        <v>-455</v>
      </c>
      <c r="H17" s="19">
        <v>2500</v>
      </c>
      <c r="I17" s="21">
        <f>IF(G17&gt;=0,O17*(100+Instruccions!B33)/100,(O17*2/3)*(100+Instruccions!B33)/100)</f>
        <v>72.15</v>
      </c>
      <c r="J17" s="21">
        <f t="shared" si="1"/>
        <v>485.03499999999997</v>
      </c>
      <c r="K17" s="19"/>
      <c r="L17" s="22" t="s">
        <v>70</v>
      </c>
      <c r="M17" s="42">
        <f>(ABS(G17)/Instruccions!B31*60)</f>
        <v>68.25</v>
      </c>
      <c r="N17" s="43">
        <f>(H17/Instruccions!B32*60)</f>
        <v>30</v>
      </c>
      <c r="O17" s="43">
        <f t="shared" si="2"/>
        <v>83.25</v>
      </c>
      <c r="P17" s="44">
        <f t="shared" si="3"/>
        <v>12750</v>
      </c>
    </row>
    <row r="18" spans="2:16" ht="19.5" customHeight="1">
      <c r="B18" s="16" t="str">
        <f t="shared" si="4"/>
        <v>pont 1 gorgues freser</v>
      </c>
      <c r="C18" s="17">
        <f aca="true" t="shared" si="6" ref="C18:C26">IF(B18="",0,E17)</f>
        <v>1540</v>
      </c>
      <c r="D18" s="20" t="s">
        <v>69</v>
      </c>
      <c r="E18" s="19">
        <v>1200</v>
      </c>
      <c r="F18" s="20">
        <v>238</v>
      </c>
      <c r="G18" s="21">
        <f t="shared" si="5"/>
        <v>-340</v>
      </c>
      <c r="H18" s="19">
        <v>2500</v>
      </c>
      <c r="I18" s="21">
        <f>IF(G18&gt;=0,O18*(100+Instruccions!B33)/100,(O18*2/3)*(100+Instruccions!B33)/100)</f>
        <v>57.2</v>
      </c>
      <c r="J18" s="21">
        <f t="shared" si="1"/>
        <v>542.235</v>
      </c>
      <c r="K18" s="19"/>
      <c r="L18" s="22" t="s">
        <v>67</v>
      </c>
      <c r="M18" s="42">
        <f>(ABS(G18)/Instruccions!B31*60)</f>
        <v>51</v>
      </c>
      <c r="N18" s="43">
        <f>(H18/Instruccions!B32*60)</f>
        <v>30</v>
      </c>
      <c r="O18" s="43">
        <f t="shared" si="2"/>
        <v>66</v>
      </c>
      <c r="P18" s="44">
        <f t="shared" si="3"/>
        <v>15250</v>
      </c>
    </row>
    <row r="19" spans="2:16" ht="19.5" customHeight="1">
      <c r="B19" s="16" t="str">
        <f t="shared" si="4"/>
        <v>pont Daió</v>
      </c>
      <c r="C19" s="17">
        <f t="shared" si="6"/>
        <v>1200</v>
      </c>
      <c r="D19" s="20" t="s">
        <v>68</v>
      </c>
      <c r="E19" s="19">
        <v>1140</v>
      </c>
      <c r="F19" s="20"/>
      <c r="G19" s="21">
        <f t="shared" si="5"/>
        <v>-60</v>
      </c>
      <c r="H19" s="19">
        <v>875</v>
      </c>
      <c r="I19" s="21">
        <f>IF(G19&gt;=0,O19*(100+Instruccions!B33)/100,(O19*2/3)*(100+Instruccions!B33)/100)</f>
        <v>13</v>
      </c>
      <c r="J19" s="21">
        <f t="shared" si="1"/>
        <v>555.235</v>
      </c>
      <c r="K19" s="19"/>
      <c r="L19" s="22"/>
      <c r="M19" s="42">
        <f>(ABS(G19)/Instruccions!B31*60)</f>
        <v>9</v>
      </c>
      <c r="N19" s="43">
        <f>(H19/Instruccions!B32*60)</f>
        <v>10.5</v>
      </c>
      <c r="O19" s="43">
        <f t="shared" si="2"/>
        <v>15</v>
      </c>
      <c r="P19" s="44">
        <f t="shared" si="3"/>
        <v>16125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16125</v>
      </c>
      <c r="D28" s="33"/>
    </row>
    <row r="29" spans="2:4" ht="19.5" customHeight="1">
      <c r="B29" s="8" t="s">
        <v>17</v>
      </c>
      <c r="C29" s="6">
        <f>SUM(I7:I27)</f>
        <v>555.235</v>
      </c>
      <c r="D29" s="34">
        <f>C29/60</f>
        <v>9.253916666666667</v>
      </c>
    </row>
    <row r="30" spans="2:4" ht="19.5" customHeight="1">
      <c r="B30" s="8" t="s">
        <v>18</v>
      </c>
      <c r="C30" s="6">
        <f>SUMIF(G7:G27,"&gt;0",G7:G27)</f>
        <v>1403</v>
      </c>
      <c r="D30" s="35"/>
    </row>
    <row r="31" spans="2:4" ht="17.25" customHeight="1" thickBot="1">
      <c r="B31" s="9" t="s">
        <v>19</v>
      </c>
      <c r="C31" s="7">
        <f>SUMIF(G7:G27,"&lt;0",G7:G27)</f>
        <v>-1493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A24" sqref="A24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400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2005-05-21T17:24:06Z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