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<sst xmlns="http://schemas.openxmlformats.org/spreadsheetml/2006/main" count="68" uniqueCount="66">
  <si>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</si>
  <si>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</si>
  <si>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</si>
  <si>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</si>
  <si>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</si>
  <si>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</si>
  <si>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</si>
  <si>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</si>
  <si>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</si>
  <si>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</si>
  <si>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</si>
  <si>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</si>
  <si>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</si>
  <si>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</si>
  <si>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</si>
  <si>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</si>
  <si>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</si>
  <si>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</si>
  <si>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</si>
  <si>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</si>
  <si>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</si>
  <si>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</si>
  <si>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</si>
  <si>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</si>
  <si>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</si>
  <si>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</si>
  <si>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</si>
  <si>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</si>
  <si>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</si>
  <si>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</si>
  <si>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</si>
  <si>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</si>
  <si>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</si>
  <si>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</si>
  <si>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</si>
  <si>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</si>
  <si>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</si>
  <si>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</si>
  <si>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</si>
  <si>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</si>
  <si>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</si>
  <si>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</si>
  <si>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</si>
  <si>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</si>
  <si>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</si>
  <si>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</si>
  <si>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</si>
  <si>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</si>
  <si>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</si>
  <si>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</si>
  <si>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</si>
  <si>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</si>
  <si>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</si>
  <si>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setcases</t>
  </si>
  <si>
    <t>SETCASES - COSTABONA - VALLTER</t>
  </si>
  <si>
    <t xml:space="preserve">Pla de Bigues </t>
  </si>
  <si>
    <t>Collada Fonda</t>
  </si>
  <si>
    <t>Costabona</t>
  </si>
  <si>
    <t>Coll Pal</t>
  </si>
  <si>
    <t>Rocacolom</t>
  </si>
  <si>
    <t>Portella de Morenç</t>
  </si>
  <si>
    <t>Vallter (Final)</t>
  </si>
  <si>
    <t>seguim ARP</t>
  </si>
  <si>
    <t>Portella de la Callau</t>
  </si>
  <si>
    <t>Baixem un petit desnivell de 100 m com a molt. Creuament amb pista Espinavell Setcases. A l'esquerre si fas 9 Kms tornes a la carratera de setcases i amb 2,5 Kms més arribes a setcases. A la dreta si fa 7,5Kms arribes a Espinavell.</t>
  </si>
  <si>
    <t>Seguint GR-11. Segon pont de Setcases. El Pla de Bigues està un xic abans del Coll de Lliens, aquí és on deixem GR, per seguir pista que fa alguna ziga-ziga al principi que es podria evitar.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</si>
</sst>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3250</c:v>
                </c:pt>
                <c:pt idx="2">
                  <c:v>6500</c:v>
                </c:pt>
                <c:pt idx="3">
                  <c:v>9000</c:v>
                </c:pt>
                <c:pt idx="4">
                  <c:v>9750</c:v>
                </c:pt>
                <c:pt idx="5">
                  <c:v>11750</c:v>
                </c:pt>
                <c:pt idx="6">
                  <c:v>12500</c:v>
                </c:pt>
                <c:pt idx="7">
                  <c:v>15750</c:v>
                </c:pt>
                <c:pt idx="8">
                  <c:v>17250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1279</c:v>
                </c:pt>
                <c:pt idx="1">
                  <c:v>1896</c:v>
                </c:pt>
                <c:pt idx="2">
                  <c:v>1900</c:v>
                </c:pt>
                <c:pt idx="3">
                  <c:v>2465</c:v>
                </c:pt>
                <c:pt idx="4">
                  <c:v>2360</c:v>
                </c:pt>
                <c:pt idx="5">
                  <c:v>2510</c:v>
                </c:pt>
                <c:pt idx="6">
                  <c:v>2400</c:v>
                </c:pt>
                <c:pt idx="7">
                  <c:v>2380</c:v>
                </c:pt>
                <c:pt idx="8">
                  <c:v>2140</c:v>
                </c:pt>
              </c:numCache>
            </c:numRef>
          </c:yVal>
          <c:smooth val="1"/>
        </c:ser>
        <c:axId val="13985453"/>
        <c:axId val="58760214"/>
      </c:scatterChart>
      <c:valAx>
        <c:axId val="139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60214"/>
        <c:crosses val="autoZero"/>
        <c:crossBetween val="midCat"/>
        <c:dispUnits/>
      </c:valAx>
      <c:valAx>
        <c:axId val="58760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85453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F8" sqref="F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54</v>
      </c>
      <c r="D3" s="59"/>
      <c r="E3" s="59"/>
      <c r="F3" s="59"/>
      <c r="G3" s="59"/>
      <c r="H3" s="59"/>
      <c r="I3" s="59"/>
      <c r="J3" s="59"/>
      <c r="K3" s="60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setcases</v>
      </c>
      <c r="E6" s="56">
        <f>C7</f>
        <v>1279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1279</v>
      </c>
      <c r="D7" s="11" t="s">
        <v>55</v>
      </c>
      <c r="E7" s="12">
        <v>1896</v>
      </c>
      <c r="F7" s="13">
        <v>106</v>
      </c>
      <c r="G7" s="14">
        <f>E7-C7</f>
        <v>617</v>
      </c>
      <c r="H7" s="12">
        <v>3250</v>
      </c>
      <c r="I7" s="14">
        <f>IF(G7&gt;=0,O7*(100+Instruccions!B33)/100,(O7*2/3)*(100+Instruccions!B33)/100)</f>
        <v>162.85285714285715</v>
      </c>
      <c r="J7" s="14">
        <f>I7</f>
        <v>162.85285714285715</v>
      </c>
      <c r="K7" s="19">
        <v>90</v>
      </c>
      <c r="L7" s="15" t="s">
        <v>65</v>
      </c>
      <c r="M7" s="42">
        <f>(ABS(G7)/Instruccions!B31*60)</f>
        <v>105.77142857142857</v>
      </c>
      <c r="N7" s="43">
        <f>(H7/Instruccions!B32*60)</f>
        <v>39</v>
      </c>
      <c r="O7" s="43">
        <f>IF(M7&gt;=N7,M7+(N7/2),N7+(M7/2))</f>
        <v>125.27142857142857</v>
      </c>
      <c r="P7" s="44">
        <f>H7</f>
        <v>3250</v>
      </c>
    </row>
    <row r="8" spans="2:16" ht="19.5" customHeight="1">
      <c r="B8" s="16" t="str">
        <f>IF(D7="","",IF(ISERROR(SEARCH("Final",D7))=TRUE,D7,""))</f>
        <v>Pla de Bigues </v>
      </c>
      <c r="C8" s="17">
        <f aca="true" t="shared" si="0" ref="C8:C16">IF(B8="",0,E7)</f>
        <v>1896</v>
      </c>
      <c r="D8" s="11" t="s">
        <v>56</v>
      </c>
      <c r="E8" s="12">
        <v>1900</v>
      </c>
      <c r="F8" s="13">
        <v>18</v>
      </c>
      <c r="G8" s="14">
        <f>E8-C8</f>
        <v>4</v>
      </c>
      <c r="H8" s="12">
        <v>3250</v>
      </c>
      <c r="I8" s="14">
        <f>IF(G8&gt;=0,O8*(100+Instruccions!B34)/100,(O8*2/3)*(100+Instruccions!B34)/100)</f>
        <v>39.34285714285714</v>
      </c>
      <c r="J8" s="21">
        <f aca="true" t="shared" si="1" ref="J8:J26">IF(I8=0,0,I8+J7)</f>
        <v>202.1957142857143</v>
      </c>
      <c r="K8" s="19">
        <v>180</v>
      </c>
      <c r="L8" s="15" t="s">
        <v>64</v>
      </c>
      <c r="M8" s="42">
        <f>(ABS(G8)/Instruccions!B31*60)</f>
        <v>0.6857142857142857</v>
      </c>
      <c r="N8" s="43">
        <f>(H8/Instruccions!B32*60)</f>
        <v>39</v>
      </c>
      <c r="O8" s="43">
        <f aca="true" t="shared" si="2" ref="O8:O26">IF(M8&gt;=N8,M8+(N8/2),N8+(M8/2))</f>
        <v>39.34285714285714</v>
      </c>
      <c r="P8" s="44">
        <f aca="true" t="shared" si="3" ref="P8:P26">IF(H8=0,NA(),H8+P7)</f>
        <v>6500</v>
      </c>
    </row>
    <row r="9" spans="2:16" ht="19.5" customHeight="1">
      <c r="B9" s="16" t="str">
        <f aca="true" t="shared" si="4" ref="B9:B26">IF(D8="","",IF(ISERROR(SEARCH("Final",D8))=TRUE,D8,""))</f>
        <v>Collada Fonda</v>
      </c>
      <c r="C9" s="17">
        <f t="shared" si="0"/>
        <v>1900</v>
      </c>
      <c r="D9" s="18" t="s">
        <v>57</v>
      </c>
      <c r="E9" s="19">
        <v>2465</v>
      </c>
      <c r="F9" s="20">
        <v>0</v>
      </c>
      <c r="G9" s="21">
        <f aca="true" t="shared" si="5" ref="G9:G26">E9-C9</f>
        <v>565</v>
      </c>
      <c r="H9" s="19">
        <v>2500</v>
      </c>
      <c r="I9" s="21">
        <f>IF(G9&gt;=0,O9*(100+Instruccions!B33)/100,(O9*2/3)*(100+Instruccions!B33)/100)</f>
        <v>145.4142857142857</v>
      </c>
      <c r="J9" s="21">
        <f t="shared" si="1"/>
        <v>347.61</v>
      </c>
      <c r="K9" s="19"/>
      <c r="L9" s="22"/>
      <c r="M9" s="42">
        <f>(ABS(G9)/Instruccions!B31*60)</f>
        <v>96.85714285714286</v>
      </c>
      <c r="N9" s="43">
        <f>(H9/Instruccions!B32*60)</f>
        <v>30</v>
      </c>
      <c r="O9" s="43">
        <f t="shared" si="2"/>
        <v>111.85714285714286</v>
      </c>
      <c r="P9" s="44">
        <f t="shared" si="3"/>
        <v>9000</v>
      </c>
    </row>
    <row r="10" spans="2:16" ht="19.5" customHeight="1">
      <c r="B10" s="16" t="str">
        <f t="shared" si="4"/>
        <v>Costabona</v>
      </c>
      <c r="C10" s="17">
        <f t="shared" si="0"/>
        <v>2465</v>
      </c>
      <c r="D10" s="18" t="s">
        <v>58</v>
      </c>
      <c r="E10" s="19">
        <v>2360</v>
      </c>
      <c r="F10" s="20">
        <v>262</v>
      </c>
      <c r="G10" s="21">
        <f t="shared" si="5"/>
        <v>-105</v>
      </c>
      <c r="H10" s="19">
        <v>750</v>
      </c>
      <c r="I10" s="21">
        <f>IF(G10&gt;=0,O10*(100+Instruccions!B33)/100,(O10*2/3)*(100+Instruccions!B33)/100)</f>
        <v>19.5</v>
      </c>
      <c r="J10" s="21">
        <f t="shared" si="1"/>
        <v>367.11</v>
      </c>
      <c r="K10" s="19"/>
      <c r="L10" s="22"/>
      <c r="M10" s="42">
        <f>(ABS(G10)/Instruccions!B31*60)</f>
        <v>18</v>
      </c>
      <c r="N10" s="43">
        <f>(H10/Instruccions!B32*60)</f>
        <v>9</v>
      </c>
      <c r="O10" s="43">
        <f t="shared" si="2"/>
        <v>22.5</v>
      </c>
      <c r="P10" s="44">
        <f t="shared" si="3"/>
        <v>9750</v>
      </c>
    </row>
    <row r="11" spans="2:16" ht="19.5" customHeight="1">
      <c r="B11" s="16" t="str">
        <f t="shared" si="4"/>
        <v>Coll Pal</v>
      </c>
      <c r="C11" s="17">
        <f t="shared" si="0"/>
        <v>2360</v>
      </c>
      <c r="D11" s="18" t="s">
        <v>59</v>
      </c>
      <c r="E11" s="19">
        <v>2510</v>
      </c>
      <c r="F11" s="20">
        <v>310</v>
      </c>
      <c r="G11" s="21">
        <f t="shared" si="5"/>
        <v>150</v>
      </c>
      <c r="H11" s="19">
        <v>2000</v>
      </c>
      <c r="I11" s="21">
        <f>IF(G11&gt;=0,O11*(100+Instruccions!B33)/100,(O11*2/3)*(100+Instruccions!B33)/100)</f>
        <v>49.028571428571425</v>
      </c>
      <c r="J11" s="21">
        <f t="shared" si="1"/>
        <v>416.1385714285714</v>
      </c>
      <c r="K11" s="19"/>
      <c r="L11" s="22" t="s">
        <v>62</v>
      </c>
      <c r="M11" s="42">
        <f>(ABS(G11)/Instruccions!B31*60)</f>
        <v>25.71428571428571</v>
      </c>
      <c r="N11" s="43">
        <f>(H11/Instruccions!B32*60)</f>
        <v>24</v>
      </c>
      <c r="O11" s="43">
        <f t="shared" si="2"/>
        <v>37.71428571428571</v>
      </c>
      <c r="P11" s="44">
        <f t="shared" si="3"/>
        <v>11750</v>
      </c>
    </row>
    <row r="12" spans="2:16" ht="19.5" customHeight="1">
      <c r="B12" s="16" t="str">
        <f t="shared" si="4"/>
        <v>Rocacolom</v>
      </c>
      <c r="C12" s="17">
        <f t="shared" si="0"/>
        <v>2510</v>
      </c>
      <c r="D12" s="18" t="s">
        <v>63</v>
      </c>
      <c r="E12" s="19">
        <v>2400</v>
      </c>
      <c r="F12" s="20">
        <v>296</v>
      </c>
      <c r="G12" s="21">
        <f t="shared" si="5"/>
        <v>-110</v>
      </c>
      <c r="H12" s="19">
        <v>750</v>
      </c>
      <c r="I12" s="21">
        <f>IF(G12&gt;=0,O12*(100+Instruccions!B33)/100,(O12*2/3)*(100+Instruccions!B33)/100)</f>
        <v>20.242857142857144</v>
      </c>
      <c r="J12" s="21">
        <f t="shared" si="1"/>
        <v>436.38142857142856</v>
      </c>
      <c r="K12" s="19"/>
      <c r="L12" s="22"/>
      <c r="M12" s="42">
        <f>(ABS(G12)/Instruccions!B31*60)</f>
        <v>18.857142857142858</v>
      </c>
      <c r="N12" s="43">
        <f>(H12/Instruccions!B32*60)</f>
        <v>9</v>
      </c>
      <c r="O12" s="43">
        <f t="shared" si="2"/>
        <v>23.357142857142858</v>
      </c>
      <c r="P12" s="44">
        <f t="shared" si="3"/>
        <v>12500</v>
      </c>
    </row>
    <row r="13" spans="2:16" ht="19.5" customHeight="1">
      <c r="B13" s="16" t="str">
        <f t="shared" si="4"/>
        <v>Portella de la Callau</v>
      </c>
      <c r="C13" s="17">
        <f t="shared" si="0"/>
        <v>2400</v>
      </c>
      <c r="D13" s="18" t="s">
        <v>60</v>
      </c>
      <c r="E13" s="19">
        <v>2380</v>
      </c>
      <c r="F13" s="20">
        <v>270</v>
      </c>
      <c r="G13" s="21">
        <f t="shared" si="5"/>
        <v>-20</v>
      </c>
      <c r="H13" s="19">
        <v>3250</v>
      </c>
      <c r="I13" s="21">
        <f>IF(G13&gt;=0,O13*(100+Instruccions!B33)/100,(O13*2/3)*(100+Instruccions!B33)/100)</f>
        <v>35.285714285714285</v>
      </c>
      <c r="J13" s="21">
        <f t="shared" si="1"/>
        <v>471.66714285714284</v>
      </c>
      <c r="K13" s="19"/>
      <c r="L13" s="22"/>
      <c r="M13" s="42">
        <f>(ABS(G13)/Instruccions!B31*60)</f>
        <v>3.4285714285714284</v>
      </c>
      <c r="N13" s="43">
        <f>(H13/Instruccions!B32*60)</f>
        <v>39</v>
      </c>
      <c r="O13" s="43">
        <f t="shared" si="2"/>
        <v>40.714285714285715</v>
      </c>
      <c r="P13" s="44">
        <f t="shared" si="3"/>
        <v>15750</v>
      </c>
    </row>
    <row r="14" spans="2:16" ht="19.5" customHeight="1">
      <c r="B14" s="16" t="str">
        <f t="shared" si="4"/>
        <v>Portella de Morenç</v>
      </c>
      <c r="C14" s="17">
        <f t="shared" si="0"/>
        <v>2380</v>
      </c>
      <c r="D14" s="18" t="s">
        <v>61</v>
      </c>
      <c r="E14" s="19">
        <v>2140</v>
      </c>
      <c r="F14" s="20">
        <v>256</v>
      </c>
      <c r="G14" s="21">
        <f t="shared" si="5"/>
        <v>-240</v>
      </c>
      <c r="H14" s="19">
        <v>1500</v>
      </c>
      <c r="I14" s="21">
        <f>IF(G14&gt;=0,O14*(100+Instruccions!B33)/100,(O14*2/3)*(100+Instruccions!B33)/100)</f>
        <v>43.45714285714286</v>
      </c>
      <c r="J14" s="21">
        <f t="shared" si="1"/>
        <v>515.1242857142857</v>
      </c>
      <c r="K14" s="19"/>
      <c r="L14" s="22"/>
      <c r="M14" s="42">
        <f>(ABS(G14)/Instruccions!B31*60)</f>
        <v>41.142857142857146</v>
      </c>
      <c r="N14" s="43">
        <f>(H14/Instruccions!B32*60)</f>
        <v>18</v>
      </c>
      <c r="O14" s="43">
        <f t="shared" si="2"/>
        <v>50.142857142857146</v>
      </c>
      <c r="P14" s="44">
        <f t="shared" si="3"/>
        <v>17250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17250</v>
      </c>
      <c r="D28" s="33"/>
    </row>
    <row r="29" spans="2:4" ht="19.5" customHeight="1">
      <c r="B29" s="8" t="s">
        <v>17</v>
      </c>
      <c r="C29" s="6">
        <f>SUM(I7:I27)</f>
        <v>515.1242857142857</v>
      </c>
      <c r="D29" s="34">
        <f>C29/60</f>
        <v>8.585404761904762</v>
      </c>
    </row>
    <row r="30" spans="2:4" ht="19.5" customHeight="1">
      <c r="B30" s="8" t="s">
        <v>18</v>
      </c>
      <c r="C30" s="6">
        <f>SUMIF(G7:G27,"&gt;0",G7:G27)</f>
        <v>1336</v>
      </c>
      <c r="D30" s="35"/>
    </row>
    <row r="31" spans="2:4" ht="17.25" customHeight="1" thickBot="1">
      <c r="B31" s="9" t="s">
        <v>19</v>
      </c>
      <c r="C31" s="7">
        <f>SUMIF(G7:G27,"&lt;0",G7:G27)</f>
        <v>-475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2005-11-13T15:40:32Z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