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<sst xmlns="http://schemas.openxmlformats.org/spreadsheetml/2006/main" count="73" uniqueCount="71">
  <si>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</si>
  <si>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</si>
  <si>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</si>
  <si>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</si>
  <si>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</si>
  <si>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</si>
  <si>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</si>
  <si>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</si>
  <si>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</si>
  <si>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</si>
  <si>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</si>
  <si>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</si>
  <si>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</si>
  <si>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</si>
  <si>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</si>
  <si>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</si>
  <si>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</si>
  <si>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</si>
  <si>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</si>
  <si>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</si>
  <si>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</si>
  <si>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</si>
  <si>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</si>
  <si>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</si>
  <si>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</si>
  <si>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</si>
  <si>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</si>
  <si>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</si>
  <si>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</si>
  <si>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</si>
  <si>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</si>
  <si>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</si>
  <si>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</si>
  <si>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</si>
  <si>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</si>
  <si>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</si>
  <si>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</si>
  <si>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</si>
  <si>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</si>
  <si>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</si>
  <si>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</si>
  <si>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</si>
  <si>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</si>
  <si>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</si>
  <si>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</si>
  <si>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</si>
  <si>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</si>
  <si>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</si>
  <si>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</si>
  <si>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</si>
  <si>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</si>
  <si>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</si>
  <si>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</si>
  <si>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VOLTA al MONTMAJOR</t>
  </si>
  <si>
    <t>Hostal Vall del Bac</t>
  </si>
  <si>
    <t>Coll del Reverter</t>
  </si>
  <si>
    <t>Collada de la Costa</t>
  </si>
  <si>
    <t>Coll de Galters</t>
  </si>
  <si>
    <t>Montmajor</t>
  </si>
  <si>
    <t>Coll de la Bassa</t>
  </si>
  <si>
    <t>la Costa</t>
  </si>
  <si>
    <t>Toralles</t>
  </si>
  <si>
    <t>Cal Quic</t>
  </si>
  <si>
    <t>Molí de Cal Quic</t>
  </si>
  <si>
    <t>El Saguer de Pera</t>
  </si>
  <si>
    <t>Estret del Bo de Quer</t>
  </si>
  <si>
    <t>Molí de la Coromina</t>
  </si>
  <si>
    <t>Hostal Vall del Bac (Final)</t>
  </si>
  <si>
    <t>més o menys a la meitat</t>
  </si>
  <si>
    <t>Variant Coll de Toralloles-Passant nou</t>
  </si>
  <si>
    <t>25 min esmorzar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</si>
</sst>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1250</c:v>
                </c:pt>
                <c:pt idx="2">
                  <c:v>1625</c:v>
                </c:pt>
                <c:pt idx="3">
                  <c:v>2375</c:v>
                </c:pt>
                <c:pt idx="4">
                  <c:v>2750</c:v>
                </c:pt>
                <c:pt idx="5">
                  <c:v>3125</c:v>
                </c:pt>
                <c:pt idx="6">
                  <c:v>4250</c:v>
                </c:pt>
                <c:pt idx="7">
                  <c:v>5250</c:v>
                </c:pt>
                <c:pt idx="8">
                  <c:v>7000</c:v>
                </c:pt>
                <c:pt idx="9">
                  <c:v>7500</c:v>
                </c:pt>
                <c:pt idx="10">
                  <c:v>9500</c:v>
                </c:pt>
                <c:pt idx="11">
                  <c:v>10400</c:v>
                </c:pt>
                <c:pt idx="12">
                  <c:v>11300</c:v>
                </c:pt>
                <c:pt idx="13">
                  <c:v>12175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580</c:v>
                </c:pt>
                <c:pt idx="1">
                  <c:v>733</c:v>
                </c:pt>
                <c:pt idx="2">
                  <c:v>817</c:v>
                </c:pt>
                <c:pt idx="3">
                  <c:v>964</c:v>
                </c:pt>
                <c:pt idx="4">
                  <c:v>1075</c:v>
                </c:pt>
                <c:pt idx="5">
                  <c:v>980</c:v>
                </c:pt>
                <c:pt idx="6">
                  <c:v>660</c:v>
                </c:pt>
                <c:pt idx="7">
                  <c:v>630</c:v>
                </c:pt>
                <c:pt idx="8">
                  <c:v>500</c:v>
                </c:pt>
                <c:pt idx="9">
                  <c:v>460</c:v>
                </c:pt>
                <c:pt idx="10">
                  <c:v>620</c:v>
                </c:pt>
                <c:pt idx="11">
                  <c:v>550</c:v>
                </c:pt>
                <c:pt idx="12">
                  <c:v>550</c:v>
                </c:pt>
                <c:pt idx="13">
                  <c:v>580</c:v>
                </c:pt>
              </c:numCache>
            </c:numRef>
          </c:yVal>
          <c:smooth val="1"/>
        </c:ser>
        <c:axId val="13467375"/>
        <c:axId val="54097512"/>
      </c:scatterChart>
      <c:valAx>
        <c:axId val="13467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97512"/>
        <c:crosses val="autoZero"/>
        <c:crossBetween val="midCat"/>
        <c:dispUnits/>
      </c:valAx>
      <c:valAx>
        <c:axId val="54097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67375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110" zoomScaleNormal="110" workbookViewId="0" topLeftCell="A4">
      <selection activeCell="A11" sqref="A11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53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Hostal Vall del Bac</v>
      </c>
      <c r="E6" s="56">
        <f>C7</f>
        <v>580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580</v>
      </c>
      <c r="D7" s="11" t="s">
        <v>55</v>
      </c>
      <c r="E7" s="12">
        <v>733</v>
      </c>
      <c r="F7" s="13"/>
      <c r="G7" s="14">
        <f>E7-C7</f>
        <v>153</v>
      </c>
      <c r="H7" s="12">
        <v>1250</v>
      </c>
      <c r="I7" s="14">
        <f>IF(G7&gt;=0,O7*(100+Instruccions!B33)/100,(O7*2/3)*(100+Instruccions!B33)/100)</f>
        <v>45.533571428571435</v>
      </c>
      <c r="J7" s="14">
        <f>I7</f>
        <v>45.533571428571435</v>
      </c>
      <c r="K7" s="19">
        <v>35</v>
      </c>
      <c r="L7" s="15"/>
      <c r="M7" s="42">
        <f>(ABS(G7)/Instruccions!B31*60)</f>
        <v>26.22857142857143</v>
      </c>
      <c r="N7" s="43">
        <f>(H7/Instruccions!B32*60)</f>
        <v>15</v>
      </c>
      <c r="O7" s="43">
        <f>IF(M7&gt;=N7,M7+(N7/2),N7+(M7/2))</f>
        <v>33.72857142857143</v>
      </c>
      <c r="P7" s="44">
        <f>H7</f>
        <v>1250</v>
      </c>
    </row>
    <row r="8" spans="2:16" ht="19.5" customHeight="1">
      <c r="B8" s="16" t="str">
        <f>IF(D7="","",IF(ISERROR(SEARCH("Final",D7))=TRUE,D7,""))</f>
        <v>Coll del Reverter</v>
      </c>
      <c r="C8" s="17">
        <f aca="true" t="shared" si="0" ref="C8:C16">IF(B8="",0,E7)</f>
        <v>733</v>
      </c>
      <c r="D8" s="11" t="s">
        <v>56</v>
      </c>
      <c r="E8" s="12">
        <v>817</v>
      </c>
      <c r="F8" s="13"/>
      <c r="G8" s="14">
        <f>E8-C8</f>
        <v>84</v>
      </c>
      <c r="H8" s="12">
        <v>375</v>
      </c>
      <c r="I8" s="14">
        <f>IF(G8&gt;=0,O8*(100+Instruccions!B34)/100,(O8*2/3)*(100+Instruccions!B34)/100)</f>
        <v>16.65</v>
      </c>
      <c r="J8" s="21">
        <f aca="true" t="shared" si="1" ref="J8:J26">IF(I8=0,0,I8+J7)</f>
        <v>62.18357142857143</v>
      </c>
      <c r="K8" s="19">
        <v>45</v>
      </c>
      <c r="L8" s="15" t="s">
        <v>69</v>
      </c>
      <c r="M8" s="42">
        <f>(ABS(G8)/Instruccions!B31*60)</f>
        <v>14.399999999999999</v>
      </c>
      <c r="N8" s="43">
        <f>(H8/Instruccions!B32*60)</f>
        <v>4.5</v>
      </c>
      <c r="O8" s="43">
        <f aca="true" t="shared" si="2" ref="O8:O26">IF(M8&gt;=N8,M8+(N8/2),N8+(M8/2))</f>
        <v>16.65</v>
      </c>
      <c r="P8" s="44">
        <f aca="true" t="shared" si="3" ref="P8:P26">IF(H8=0,NA(),H8+P7)</f>
        <v>1625</v>
      </c>
    </row>
    <row r="9" spans="2:16" ht="19.5" customHeight="1">
      <c r="B9" s="16" t="str">
        <f aca="true" t="shared" si="4" ref="B9:B26">IF(D8="","",IF(ISERROR(SEARCH("Final",D8))=TRUE,D8,""))</f>
        <v>Collada de la Costa</v>
      </c>
      <c r="C9" s="17">
        <f t="shared" si="0"/>
        <v>817</v>
      </c>
      <c r="D9" s="18" t="s">
        <v>57</v>
      </c>
      <c r="E9" s="19">
        <v>964</v>
      </c>
      <c r="F9" s="20"/>
      <c r="G9" s="21">
        <f aca="true" t="shared" si="5" ref="G9:G26">E9-C9</f>
        <v>147</v>
      </c>
      <c r="H9" s="19">
        <v>750</v>
      </c>
      <c r="I9" s="21">
        <f>IF(G9&gt;=0,O9*(100+Instruccions!B33)/100,(O9*2/3)*(100+Instruccions!B33)/100)</f>
        <v>40.095</v>
      </c>
      <c r="J9" s="21">
        <f t="shared" si="1"/>
        <v>102.27857142857144</v>
      </c>
      <c r="K9" s="19">
        <v>70</v>
      </c>
      <c r="L9" s="22"/>
      <c r="M9" s="42">
        <f>(ABS(G9)/Instruccions!B31*60)</f>
        <v>25.2</v>
      </c>
      <c r="N9" s="43">
        <f>(H9/Instruccions!B32*60)</f>
        <v>9</v>
      </c>
      <c r="O9" s="43">
        <f t="shared" si="2"/>
        <v>29.7</v>
      </c>
      <c r="P9" s="44">
        <f t="shared" si="3"/>
        <v>2375</v>
      </c>
    </row>
    <row r="10" spans="2:16" ht="19.5" customHeight="1">
      <c r="B10" s="16" t="str">
        <f t="shared" si="4"/>
        <v>Coll de Galters</v>
      </c>
      <c r="C10" s="17">
        <f t="shared" si="0"/>
        <v>964</v>
      </c>
      <c r="D10" s="18" t="s">
        <v>58</v>
      </c>
      <c r="E10" s="19">
        <v>1075</v>
      </c>
      <c r="F10" s="20"/>
      <c r="G10" s="21">
        <f t="shared" si="5"/>
        <v>111</v>
      </c>
      <c r="H10" s="19">
        <v>375</v>
      </c>
      <c r="I10" s="21">
        <f>IF(G10&gt;=0,O10*(100+Instruccions!B33)/100,(O10*2/3)*(100+Instruccions!B33)/100)</f>
        <v>28.726071428571426</v>
      </c>
      <c r="J10" s="21">
        <f t="shared" si="1"/>
        <v>131.00464285714287</v>
      </c>
      <c r="K10" s="19">
        <v>130</v>
      </c>
      <c r="L10" s="22" t="s">
        <v>70</v>
      </c>
      <c r="M10" s="42">
        <f>(ABS(G10)/Instruccions!B31*60)</f>
        <v>19.02857142857143</v>
      </c>
      <c r="N10" s="43">
        <f>(H10/Instruccions!B32*60)</f>
        <v>4.5</v>
      </c>
      <c r="O10" s="43">
        <f t="shared" si="2"/>
        <v>21.27857142857143</v>
      </c>
      <c r="P10" s="44">
        <f t="shared" si="3"/>
        <v>2750</v>
      </c>
    </row>
    <row r="11" spans="2:16" ht="19.5" customHeight="1">
      <c r="B11" s="16" t="str">
        <f t="shared" si="4"/>
        <v>Montmajor</v>
      </c>
      <c r="C11" s="17">
        <f t="shared" si="0"/>
        <v>1075</v>
      </c>
      <c r="D11" s="18" t="s">
        <v>59</v>
      </c>
      <c r="E11" s="19">
        <v>980</v>
      </c>
      <c r="F11" s="57"/>
      <c r="G11" s="21">
        <f t="shared" si="5"/>
        <v>-95</v>
      </c>
      <c r="H11" s="19">
        <v>375</v>
      </c>
      <c r="I11" s="21">
        <f>IF(G11&gt;=0,O11*(100+Instruccions!B33)/100,(O11*2/3)*(100+Instruccions!B33)/100)</f>
        <v>16.682142857142857</v>
      </c>
      <c r="J11" s="21">
        <f t="shared" si="1"/>
        <v>147.68678571428572</v>
      </c>
      <c r="K11" s="19">
        <v>155</v>
      </c>
      <c r="L11" s="22"/>
      <c r="M11" s="42">
        <f>(ABS(G11)/Instruccions!B31*60)</f>
        <v>16.285714285714285</v>
      </c>
      <c r="N11" s="43">
        <f>(H11/Instruccions!B32*60)</f>
        <v>4.5</v>
      </c>
      <c r="O11" s="43">
        <f t="shared" si="2"/>
        <v>18.535714285714285</v>
      </c>
      <c r="P11" s="44">
        <f t="shared" si="3"/>
        <v>3125</v>
      </c>
    </row>
    <row r="12" spans="2:16" ht="19.5" customHeight="1">
      <c r="B12" s="16" t="str">
        <f t="shared" si="4"/>
        <v>Coll de la Bassa</v>
      </c>
      <c r="C12" s="17">
        <f t="shared" si="0"/>
        <v>980</v>
      </c>
      <c r="D12" s="18" t="s">
        <v>60</v>
      </c>
      <c r="E12" s="19">
        <v>660</v>
      </c>
      <c r="F12" s="20"/>
      <c r="G12" s="21">
        <f t="shared" si="5"/>
        <v>-320</v>
      </c>
      <c r="H12" s="19">
        <v>1125</v>
      </c>
      <c r="I12" s="21">
        <f>IF(G12&gt;=0,O12*(100+Instruccions!B33)/100,(O12*2/3)*(100+Instruccions!B33)/100)</f>
        <v>55.44642857142857</v>
      </c>
      <c r="J12" s="21">
        <f t="shared" si="1"/>
        <v>203.1332142857143</v>
      </c>
      <c r="K12" s="19">
        <v>185</v>
      </c>
      <c r="L12" s="22"/>
      <c r="M12" s="42">
        <f>(ABS(G12)/Instruccions!B31*60)</f>
        <v>54.857142857142854</v>
      </c>
      <c r="N12" s="43">
        <f>(H12/Instruccions!B32*60)</f>
        <v>13.5</v>
      </c>
      <c r="O12" s="43">
        <f t="shared" si="2"/>
        <v>61.607142857142854</v>
      </c>
      <c r="P12" s="44">
        <f t="shared" si="3"/>
        <v>4250</v>
      </c>
    </row>
    <row r="13" spans="2:16" ht="19.5" customHeight="1">
      <c r="B13" s="16" t="str">
        <f t="shared" si="4"/>
        <v>la Costa</v>
      </c>
      <c r="C13" s="17">
        <f t="shared" si="0"/>
        <v>660</v>
      </c>
      <c r="D13" s="18" t="s">
        <v>61</v>
      </c>
      <c r="E13" s="19">
        <v>630</v>
      </c>
      <c r="F13" s="20"/>
      <c r="G13" s="21">
        <f t="shared" si="5"/>
        <v>-30</v>
      </c>
      <c r="H13" s="19">
        <v>1000</v>
      </c>
      <c r="I13" s="21">
        <f>IF(G13&gt;=0,O13*(100+Instruccions!B33)/100,(O13*2/3)*(100+Instruccions!B33)/100)</f>
        <v>13.114285714285714</v>
      </c>
      <c r="J13" s="21">
        <f t="shared" si="1"/>
        <v>216.2475</v>
      </c>
      <c r="K13" s="19"/>
      <c r="L13" s="22"/>
      <c r="M13" s="42">
        <f>(ABS(G13)/Instruccions!B31*60)</f>
        <v>5.142857142857143</v>
      </c>
      <c r="N13" s="43">
        <f>(H13/Instruccions!B32*60)</f>
        <v>12</v>
      </c>
      <c r="O13" s="43">
        <f t="shared" si="2"/>
        <v>14.571428571428571</v>
      </c>
      <c r="P13" s="44">
        <f t="shared" si="3"/>
        <v>5250</v>
      </c>
    </row>
    <row r="14" spans="2:16" ht="19.5" customHeight="1">
      <c r="B14" s="16" t="str">
        <f t="shared" si="4"/>
        <v>Toralles</v>
      </c>
      <c r="C14" s="17">
        <f t="shared" si="0"/>
        <v>630</v>
      </c>
      <c r="D14" s="18" t="s">
        <v>62</v>
      </c>
      <c r="E14" s="19">
        <v>500</v>
      </c>
      <c r="F14" s="20"/>
      <c r="G14" s="21">
        <f t="shared" si="5"/>
        <v>-130</v>
      </c>
      <c r="H14" s="19">
        <v>1750</v>
      </c>
      <c r="I14" s="21">
        <f>IF(G14&gt;=0,O14*(100+Instruccions!B33)/100,(O14*2/3)*(100+Instruccions!B33)/100)</f>
        <v>29.507142857142856</v>
      </c>
      <c r="J14" s="21">
        <f t="shared" si="1"/>
        <v>245.75464285714287</v>
      </c>
      <c r="K14" s="19">
        <v>230</v>
      </c>
      <c r="L14" s="22"/>
      <c r="M14" s="42">
        <f>(ABS(G14)/Instruccions!B31*60)</f>
        <v>22.285714285714285</v>
      </c>
      <c r="N14" s="43">
        <f>(H14/Instruccions!B32*60)</f>
        <v>21</v>
      </c>
      <c r="O14" s="43">
        <f t="shared" si="2"/>
        <v>32.785714285714285</v>
      </c>
      <c r="P14" s="44">
        <f t="shared" si="3"/>
        <v>7000</v>
      </c>
    </row>
    <row r="15" spans="2:16" ht="19.5" customHeight="1">
      <c r="B15" s="16" t="str">
        <f t="shared" si="4"/>
        <v>Cal Quic</v>
      </c>
      <c r="C15" s="17">
        <f t="shared" si="0"/>
        <v>500</v>
      </c>
      <c r="D15" s="18" t="s">
        <v>63</v>
      </c>
      <c r="E15" s="19">
        <v>460</v>
      </c>
      <c r="F15" s="20"/>
      <c r="G15" s="21">
        <f t="shared" si="5"/>
        <v>-40</v>
      </c>
      <c r="H15" s="19">
        <v>500</v>
      </c>
      <c r="I15" s="21">
        <f>IF(G15&gt;=0,O15*(100+Instruccions!B33)/100,(O15*2/3)*(100+Instruccions!B33)/100)</f>
        <v>8.871428571428572</v>
      </c>
      <c r="J15" s="21">
        <f t="shared" si="1"/>
        <v>254.62607142857144</v>
      </c>
      <c r="K15" s="19"/>
      <c r="L15" s="22"/>
      <c r="M15" s="42">
        <f>(ABS(G15)/Instruccions!B31*60)</f>
        <v>6.857142857142857</v>
      </c>
      <c r="N15" s="43">
        <f>(H15/Instruccions!B32*60)</f>
        <v>6</v>
      </c>
      <c r="O15" s="43">
        <f t="shared" si="2"/>
        <v>9.857142857142858</v>
      </c>
      <c r="P15" s="44">
        <f t="shared" si="3"/>
        <v>7500</v>
      </c>
    </row>
    <row r="16" spans="2:16" ht="19.5" customHeight="1">
      <c r="B16" s="16" t="str">
        <f t="shared" si="4"/>
        <v>Molí de Cal Quic</v>
      </c>
      <c r="C16" s="17">
        <f t="shared" si="0"/>
        <v>460</v>
      </c>
      <c r="D16" s="18" t="s">
        <v>64</v>
      </c>
      <c r="E16" s="19">
        <v>620</v>
      </c>
      <c r="F16" s="20"/>
      <c r="G16" s="21">
        <f t="shared" si="5"/>
        <v>160</v>
      </c>
      <c r="H16" s="19">
        <v>2000</v>
      </c>
      <c r="I16" s="21">
        <f>IF(G16&gt;=0,O16*(100+Instruccions!B33)/100,(O16*2/3)*(100+Instruccions!B33)/100)</f>
        <v>53.22857142857143</v>
      </c>
      <c r="J16" s="21">
        <f t="shared" si="1"/>
        <v>307.85464285714284</v>
      </c>
      <c r="K16" s="19">
        <v>290</v>
      </c>
      <c r="L16" s="22"/>
      <c r="M16" s="42">
        <f>(ABS(G16)/Instruccions!B31*60)</f>
        <v>27.428571428571427</v>
      </c>
      <c r="N16" s="43">
        <f>(H16/Instruccions!B32*60)</f>
        <v>24</v>
      </c>
      <c r="O16" s="43">
        <f t="shared" si="2"/>
        <v>39.42857142857143</v>
      </c>
      <c r="P16" s="44">
        <f t="shared" si="3"/>
        <v>9500</v>
      </c>
    </row>
    <row r="17" spans="2:16" ht="19.5" customHeight="1">
      <c r="B17" s="16" t="str">
        <f t="shared" si="4"/>
        <v>El Saguer de Pera</v>
      </c>
      <c r="C17" s="17">
        <f>IF(B17="",0,E16)</f>
        <v>620</v>
      </c>
      <c r="D17" s="20" t="s">
        <v>65</v>
      </c>
      <c r="E17" s="19">
        <v>550</v>
      </c>
      <c r="F17" s="20"/>
      <c r="G17" s="21">
        <f t="shared" si="5"/>
        <v>-70</v>
      </c>
      <c r="H17" s="19">
        <v>900</v>
      </c>
      <c r="I17" s="21">
        <f>IF(G17&gt;=0,O17*(100+Instruccions!B33)/100,(O17*2/3)*(100+Instruccions!B33)/100)</f>
        <v>15.66</v>
      </c>
      <c r="J17" s="21">
        <f t="shared" si="1"/>
        <v>323.51464285714286</v>
      </c>
      <c r="K17" s="19"/>
      <c r="L17" s="22" t="s">
        <v>68</v>
      </c>
      <c r="M17" s="42">
        <f>(ABS(G17)/Instruccions!B31*60)</f>
        <v>12</v>
      </c>
      <c r="N17" s="43">
        <f>(H17/Instruccions!B32*60)</f>
        <v>10.799999999999999</v>
      </c>
      <c r="O17" s="43">
        <f t="shared" si="2"/>
        <v>17.4</v>
      </c>
      <c r="P17" s="44">
        <f t="shared" si="3"/>
        <v>10400</v>
      </c>
    </row>
    <row r="18" spans="2:16" ht="19.5" customHeight="1">
      <c r="B18" s="16" t="str">
        <f t="shared" si="4"/>
        <v>Estret del Bo de Quer</v>
      </c>
      <c r="C18" s="17">
        <f aca="true" t="shared" si="6" ref="C18:C26">IF(B18="",0,E17)</f>
        <v>550</v>
      </c>
      <c r="D18" s="20" t="s">
        <v>66</v>
      </c>
      <c r="E18" s="19">
        <v>550</v>
      </c>
      <c r="F18" s="20"/>
      <c r="G18" s="21">
        <f t="shared" si="5"/>
        <v>0</v>
      </c>
      <c r="H18" s="19">
        <v>900</v>
      </c>
      <c r="I18" s="21">
        <f>IF(G18&gt;=0,O18*(100+Instruccions!B33)/100,(O18*2/3)*(100+Instruccions!B33)/100)</f>
        <v>14.579999999999998</v>
      </c>
      <c r="J18" s="21">
        <f t="shared" si="1"/>
        <v>338.09464285714284</v>
      </c>
      <c r="K18" s="19"/>
      <c r="L18" s="22"/>
      <c r="M18" s="42">
        <f>(ABS(G18)/Instruccions!B31*60)</f>
        <v>0</v>
      </c>
      <c r="N18" s="43">
        <f>(H18/Instruccions!B32*60)</f>
        <v>10.799999999999999</v>
      </c>
      <c r="O18" s="43">
        <f t="shared" si="2"/>
        <v>10.799999999999999</v>
      </c>
      <c r="P18" s="44">
        <f t="shared" si="3"/>
        <v>11300</v>
      </c>
    </row>
    <row r="19" spans="2:16" ht="19.5" customHeight="1">
      <c r="B19" s="16" t="str">
        <f t="shared" si="4"/>
        <v>Molí de la Coromina</v>
      </c>
      <c r="C19" s="17">
        <f t="shared" si="6"/>
        <v>550</v>
      </c>
      <c r="D19" s="20" t="s">
        <v>67</v>
      </c>
      <c r="E19" s="19">
        <v>580</v>
      </c>
      <c r="F19" s="20"/>
      <c r="G19" s="21">
        <f t="shared" si="5"/>
        <v>30</v>
      </c>
      <c r="H19" s="19">
        <v>875</v>
      </c>
      <c r="I19" s="21">
        <f>IF(G19&gt;=0,O19*(100+Instruccions!B33)/100,(O19*2/3)*(100+Instruccions!B33)/100)</f>
        <v>17.646428571428572</v>
      </c>
      <c r="J19" s="21">
        <f t="shared" si="1"/>
        <v>355.74107142857144</v>
      </c>
      <c r="K19" s="19">
        <v>355</v>
      </c>
      <c r="L19" s="22"/>
      <c r="M19" s="42">
        <f>(ABS(G19)/Instruccions!B31*60)</f>
        <v>5.142857142857143</v>
      </c>
      <c r="N19" s="43">
        <f>(H19/Instruccions!B32*60)</f>
        <v>10.5</v>
      </c>
      <c r="O19" s="43">
        <f t="shared" si="2"/>
        <v>13.071428571428571</v>
      </c>
      <c r="P19" s="44">
        <f t="shared" si="3"/>
        <v>12175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12175</v>
      </c>
      <c r="D28" s="33"/>
    </row>
    <row r="29" spans="2:4" ht="19.5" customHeight="1">
      <c r="B29" s="8" t="s">
        <v>17</v>
      </c>
      <c r="C29" s="6">
        <f>SUM(I7:I27)</f>
        <v>355.74107142857144</v>
      </c>
      <c r="D29" s="34">
        <f>C29/60</f>
        <v>5.929017857142857</v>
      </c>
    </row>
    <row r="30" spans="2:4" ht="19.5" customHeight="1">
      <c r="B30" s="8" t="s">
        <v>18</v>
      </c>
      <c r="C30" s="6">
        <f>SUMIF(G7:G27,"&gt;0",G7:G27)</f>
        <v>685</v>
      </c>
      <c r="D30" s="35"/>
    </row>
    <row r="31" spans="2:4" ht="17.25" customHeight="1" thickBot="1">
      <c r="B31" s="9" t="s">
        <v>19</v>
      </c>
      <c r="C31" s="7">
        <f>SUMIF(G7:G27,"&lt;0",G7:G27)</f>
        <v>-685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35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2007-03-04T16:23:32Z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