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<sst xmlns="http://schemas.openxmlformats.org/spreadsheetml/2006/main" count="67" uniqueCount="65">
  <si>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</si>
  <si>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</si>
  <si>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</si>
  <si>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</si>
  <si>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</si>
  <si>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</si>
  <si>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</si>
  <si>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</si>
  <si>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</si>
  <si>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</si>
  <si>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</si>
  <si>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</si>
  <si>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</si>
  <si>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</si>
  <si>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</si>
  <si>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</si>
  <si>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</si>
  <si>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</si>
  <si>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</si>
  <si>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</si>
  <si>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</si>
  <si>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</si>
  <si>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</si>
  <si>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</si>
  <si>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</si>
  <si>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</si>
  <si>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</si>
  <si>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</si>
  <si>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</si>
  <si>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</si>
  <si>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</si>
  <si>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</si>
  <si>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</si>
  <si>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</si>
  <si>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</si>
  <si>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</si>
  <si>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</si>
  <si>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</si>
  <si>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</si>
  <si>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</si>
  <si>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</si>
  <si>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</si>
  <si>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</si>
  <si>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</si>
  <si>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</si>
  <si>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</si>
  <si>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</si>
  <si>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</si>
  <si>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</si>
  <si>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</si>
  <si>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</si>
  <si>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</si>
  <si>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</si>
  <si>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Refuge Cezanne</t>
  </si>
  <si>
    <t>Ancien Refuge Tuckett</t>
  </si>
  <si>
    <t>trencall Glaciere Noir</t>
  </si>
  <si>
    <t>refuge du Glacier Blanc</t>
  </si>
  <si>
    <t>Refuge des Écrins (Final)</t>
  </si>
  <si>
    <t>ECRINS 1: Refuge Cezanne - Refuge des Écrins</t>
  </si>
  <si>
    <t>Arribem al peu de la glacera blanca al cap de 1.25 hores.</t>
  </si>
  <si>
    <t>estany petit</t>
  </si>
  <si>
    <t>parada de 20 minuts</t>
  </si>
  <si>
    <t>alçada Glacier Blanc</t>
  </si>
  <si>
    <t>Està a 5-6 Kms d'Ailefroide(1500) en el Pre de Madame Carlé. El trencall porta a les Balmes de François Blanc. El camí està molt ben marcat amb marques vermelles, senyalitzat i fresat.</t>
  </si>
  <si>
    <t>A partir d'aquí trobem marques blanques que ens portaran al refugi. L'últim tros es fa per la glacera, 700-800 metres que depèn del dia no fan falta ni els grampons. Des de la glacera al refugi hi ha una pujada molt forta d'uns 20 minuts.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</si>
</sst>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1350</c:v>
                </c:pt>
                <c:pt idx="2">
                  <c:v>2850</c:v>
                </c:pt>
                <c:pt idx="3">
                  <c:v>3100</c:v>
                </c:pt>
                <c:pt idx="4">
                  <c:v>3600</c:v>
                </c:pt>
                <c:pt idx="5">
                  <c:v>4850</c:v>
                </c:pt>
                <c:pt idx="6">
                  <c:v>6850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1874</c:v>
                </c:pt>
                <c:pt idx="1">
                  <c:v>2031</c:v>
                </c:pt>
                <c:pt idx="2">
                  <c:v>2438</c:v>
                </c:pt>
                <c:pt idx="3">
                  <c:v>2438</c:v>
                </c:pt>
                <c:pt idx="4">
                  <c:v>2542</c:v>
                </c:pt>
                <c:pt idx="5">
                  <c:v>2900</c:v>
                </c:pt>
                <c:pt idx="6">
                  <c:v>3175</c:v>
                </c:pt>
              </c:numCache>
            </c:numRef>
          </c:yVal>
          <c:smooth val="1"/>
        </c:ser>
        <c:axId val="14733503"/>
        <c:axId val="65492664"/>
      </c:scatterChart>
      <c:valAx>
        <c:axId val="1473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92664"/>
        <c:crosses val="autoZero"/>
        <c:crossBetween val="midCat"/>
        <c:dispUnits/>
      </c:valAx>
      <c:valAx>
        <c:axId val="6549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733503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110" zoomScaleNormal="110" workbookViewId="0" topLeftCell="A3">
      <selection activeCell="F8" sqref="F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58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Refuge Cezanne</v>
      </c>
      <c r="E6" s="56">
        <f>C7</f>
        <v>1874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1874</v>
      </c>
      <c r="D7" s="11" t="s">
        <v>55</v>
      </c>
      <c r="E7" s="12">
        <v>2031</v>
      </c>
      <c r="F7" s="13"/>
      <c r="G7" s="14">
        <f>E7-C7</f>
        <v>157</v>
      </c>
      <c r="H7" s="12">
        <v>1350</v>
      </c>
      <c r="I7" s="14">
        <f>IF(G7&gt;=0,O7*(100+Instruccions!B33)/100,(O7*2/3)*(100+Instruccions!B33)/100)</f>
        <v>50.28</v>
      </c>
      <c r="J7" s="14">
        <f>I7</f>
        <v>50.28</v>
      </c>
      <c r="K7" s="19">
        <v>30</v>
      </c>
      <c r="L7" s="15" t="s">
        <v>63</v>
      </c>
      <c r="M7" s="42">
        <f>(ABS(G7)/Instruccions!B31*60)</f>
        <v>26.914285714285715</v>
      </c>
      <c r="N7" s="43">
        <f>(H7/Instruccions!B32*60)</f>
        <v>18</v>
      </c>
      <c r="O7" s="43">
        <f>IF(M7&gt;=N7,M7+(N7/2),N7+(M7/2))</f>
        <v>35.91428571428571</v>
      </c>
      <c r="P7" s="44">
        <f>H7</f>
        <v>1350</v>
      </c>
    </row>
    <row r="8" spans="2:16" ht="19.5" customHeight="1">
      <c r="B8" s="16" t="str">
        <f>IF(D7="","",IF(ISERROR(SEARCH("Final",D7))=TRUE,D7,""))</f>
        <v>trencall Glaciere Noir</v>
      </c>
      <c r="C8" s="17">
        <f aca="true" t="shared" si="0" ref="C8:C16">IF(B8="",0,E7)</f>
        <v>2031</v>
      </c>
      <c r="D8" s="11" t="s">
        <v>54</v>
      </c>
      <c r="E8" s="12">
        <v>2438</v>
      </c>
      <c r="F8" s="13"/>
      <c r="G8" s="14">
        <f>E8-C8</f>
        <v>407</v>
      </c>
      <c r="H8" s="12">
        <v>1500</v>
      </c>
      <c r="I8" s="14">
        <f>IF(G8&gt;=0,O8*(100+Instruccions!B34)/100,(O8*2/3)*(100+Instruccions!B34)/100)</f>
        <v>79.77142857142857</v>
      </c>
      <c r="J8" s="21">
        <f aca="true" t="shared" si="1" ref="J8:J26">IF(I8=0,0,I8+J7)</f>
        <v>130.05142857142857</v>
      </c>
      <c r="K8" s="19">
        <v>110</v>
      </c>
      <c r="L8" s="15" t="s">
        <v>59</v>
      </c>
      <c r="M8" s="42">
        <f>(ABS(G8)/Instruccions!B31*60)</f>
        <v>69.77142857142857</v>
      </c>
      <c r="N8" s="43">
        <f>(H8/Instruccions!B32*60)</f>
        <v>20</v>
      </c>
      <c r="O8" s="43">
        <f aca="true" t="shared" si="2" ref="O8:O26">IF(M8&gt;=N8,M8+(N8/2),N8+(M8/2))</f>
        <v>79.77142857142857</v>
      </c>
      <c r="P8" s="44">
        <f aca="true" t="shared" si="3" ref="P8:P26">IF(H8=0,NA(),H8+P7)</f>
        <v>2850</v>
      </c>
    </row>
    <row r="9" spans="2:16" ht="19.5" customHeight="1">
      <c r="B9" s="16" t="str">
        <f aca="true" t="shared" si="4" ref="B9:B26">IF(D8="","",IF(ISERROR(SEARCH("Final",D8))=TRUE,D8,""))</f>
        <v>Ancien Refuge Tuckett</v>
      </c>
      <c r="C9" s="17">
        <f t="shared" si="0"/>
        <v>2438</v>
      </c>
      <c r="D9" s="18" t="s">
        <v>60</v>
      </c>
      <c r="E9" s="19">
        <v>2438</v>
      </c>
      <c r="F9" s="20"/>
      <c r="G9" s="21">
        <f aca="true" t="shared" si="5" ref="G9:G26">E9-C9</f>
        <v>0</v>
      </c>
      <c r="H9" s="19">
        <v>250</v>
      </c>
      <c r="I9" s="21">
        <f>IF(G9&gt;=0,O9*(100+Instruccions!B33)/100,(O9*2/3)*(100+Instruccions!B33)/100)</f>
        <v>4.666666666666666</v>
      </c>
      <c r="J9" s="21">
        <f t="shared" si="1"/>
        <v>134.71809523809523</v>
      </c>
      <c r="K9" s="19"/>
      <c r="L9" s="22"/>
      <c r="M9" s="42">
        <f>(ABS(G9)/Instruccions!B31*60)</f>
        <v>0</v>
      </c>
      <c r="N9" s="43">
        <f>(H9/Instruccions!B32*60)</f>
        <v>3.333333333333333</v>
      </c>
      <c r="O9" s="43">
        <f t="shared" si="2"/>
        <v>3.333333333333333</v>
      </c>
      <c r="P9" s="44">
        <f t="shared" si="3"/>
        <v>3100</v>
      </c>
    </row>
    <row r="10" spans="2:16" ht="19.5" customHeight="1">
      <c r="B10" s="16" t="str">
        <f t="shared" si="4"/>
        <v>estany petit</v>
      </c>
      <c r="C10" s="17">
        <f t="shared" si="0"/>
        <v>2438</v>
      </c>
      <c r="D10" s="18" t="s">
        <v>56</v>
      </c>
      <c r="E10" s="19">
        <v>2542</v>
      </c>
      <c r="F10" s="20"/>
      <c r="G10" s="21">
        <f t="shared" si="5"/>
        <v>104</v>
      </c>
      <c r="H10" s="19">
        <v>500</v>
      </c>
      <c r="I10" s="21">
        <f>IF(G10&gt;=0,O10*(100+Instruccions!B33)/100,(O10*2/3)*(100+Instruccions!B33)/100)</f>
        <v>29.626666666666665</v>
      </c>
      <c r="J10" s="21">
        <f t="shared" si="1"/>
        <v>164.3447619047619</v>
      </c>
      <c r="K10" s="19">
        <v>135</v>
      </c>
      <c r="L10" s="22" t="s">
        <v>61</v>
      </c>
      <c r="M10" s="42">
        <f>(ABS(G10)/Instruccions!B31*60)</f>
        <v>17.82857142857143</v>
      </c>
      <c r="N10" s="43">
        <f>(H10/Instruccions!B32*60)</f>
        <v>6.666666666666666</v>
      </c>
      <c r="O10" s="43">
        <f t="shared" si="2"/>
        <v>21.16190476190476</v>
      </c>
      <c r="P10" s="44">
        <f t="shared" si="3"/>
        <v>3600</v>
      </c>
    </row>
    <row r="11" spans="2:16" ht="19.5" customHeight="1">
      <c r="B11" s="16" t="str">
        <f t="shared" si="4"/>
        <v>refuge du Glacier Blanc</v>
      </c>
      <c r="C11" s="17">
        <f t="shared" si="0"/>
        <v>2542</v>
      </c>
      <c r="D11" s="18" t="s">
        <v>62</v>
      </c>
      <c r="E11" s="19">
        <v>2900</v>
      </c>
      <c r="F11" s="57"/>
      <c r="G11" s="21">
        <f t="shared" si="5"/>
        <v>358</v>
      </c>
      <c r="H11" s="19">
        <v>1250</v>
      </c>
      <c r="I11" s="21">
        <f>IF(G11&gt;=0,O11*(100+Instruccions!B33)/100,(O11*2/3)*(100+Instruccions!B33)/100)</f>
        <v>97.58666666666667</v>
      </c>
      <c r="J11" s="21">
        <f t="shared" si="1"/>
        <v>261.93142857142857</v>
      </c>
      <c r="K11" s="19">
        <v>175</v>
      </c>
      <c r="L11" s="62"/>
      <c r="M11" s="42">
        <f>(ABS(G11)/Instruccions!B31*60)</f>
        <v>61.371428571428574</v>
      </c>
      <c r="N11" s="43">
        <f>(H11/Instruccions!B32*60)</f>
        <v>16.666666666666668</v>
      </c>
      <c r="O11" s="43">
        <f t="shared" si="2"/>
        <v>69.70476190476191</v>
      </c>
      <c r="P11" s="44">
        <f t="shared" si="3"/>
        <v>4850</v>
      </c>
    </row>
    <row r="12" spans="2:16" ht="19.5" customHeight="1">
      <c r="B12" s="16" t="str">
        <f t="shared" si="4"/>
        <v>alçada Glacier Blanc</v>
      </c>
      <c r="C12" s="17">
        <f t="shared" si="0"/>
        <v>2900</v>
      </c>
      <c r="D12" s="18" t="s">
        <v>57</v>
      </c>
      <c r="E12" s="19">
        <v>3175</v>
      </c>
      <c r="F12" s="20"/>
      <c r="G12" s="21">
        <f t="shared" si="5"/>
        <v>275</v>
      </c>
      <c r="H12" s="19">
        <v>2000</v>
      </c>
      <c r="I12" s="21">
        <f>IF(G12&gt;=0,O12*(100+Instruccions!B33)/100,(O12*2/3)*(100+Instruccions!B33)/100)</f>
        <v>84.66666666666666</v>
      </c>
      <c r="J12" s="21">
        <f t="shared" si="1"/>
        <v>346.5980952380952</v>
      </c>
      <c r="K12" s="19">
        <v>330</v>
      </c>
      <c r="L12" s="22" t="s">
        <v>64</v>
      </c>
      <c r="M12" s="42">
        <f>(ABS(G12)/Instruccions!B31*60)</f>
        <v>47.14285714285714</v>
      </c>
      <c r="N12" s="43">
        <f>(H12/Instruccions!B32*60)</f>
        <v>26.666666666666664</v>
      </c>
      <c r="O12" s="43">
        <f t="shared" si="2"/>
        <v>60.47619047619047</v>
      </c>
      <c r="P12" s="44">
        <f t="shared" si="3"/>
        <v>6850</v>
      </c>
    </row>
    <row r="13" spans="2:16" ht="19.5" customHeight="1">
      <c r="B13" s="16">
        <f t="shared" si="4"/>
      </c>
      <c r="C13" s="17">
        <f t="shared" si="0"/>
        <v>0</v>
      </c>
      <c r="D13" s="18"/>
      <c r="E13" s="19"/>
      <c r="F13" s="20"/>
      <c r="G13" s="21">
        <f t="shared" si="5"/>
        <v>0</v>
      </c>
      <c r="H13" s="19"/>
      <c r="I13" s="21">
        <f>IF(G13&gt;=0,O13*(100+Instruccions!B33)/100,(O13*2/3)*(100+Instruccions!B33)/100)</f>
        <v>0</v>
      </c>
      <c r="J13" s="21">
        <f t="shared" si="1"/>
        <v>0</v>
      </c>
      <c r="K13" s="19"/>
      <c r="L13" s="22"/>
      <c r="M13" s="42">
        <f>(ABS(G13)/Instruccions!B31*60)</f>
        <v>0</v>
      </c>
      <c r="N13" s="43">
        <f>(H13/Instruccions!B32*60)</f>
        <v>0</v>
      </c>
      <c r="O13" s="43">
        <f t="shared" si="2"/>
        <v>0</v>
      </c>
      <c r="P13" s="44" t="e">
        <f t="shared" si="3"/>
        <v>#N/A</v>
      </c>
    </row>
    <row r="14" spans="2:16" ht="19.5" customHeight="1">
      <c r="B14" s="16">
        <f t="shared" si="4"/>
      </c>
      <c r="C14" s="17">
        <f t="shared" si="0"/>
        <v>0</v>
      </c>
      <c r="D14" s="18"/>
      <c r="E14" s="19"/>
      <c r="F14" s="20"/>
      <c r="G14" s="21">
        <f t="shared" si="5"/>
        <v>0</v>
      </c>
      <c r="H14" s="19"/>
      <c r="I14" s="21">
        <f>IF(G14&gt;=0,O14*(100+Instruccions!B33)/100,(O14*2/3)*(100+Instruccions!B33)/100)</f>
        <v>0</v>
      </c>
      <c r="J14" s="21">
        <f t="shared" si="1"/>
        <v>0</v>
      </c>
      <c r="K14" s="19"/>
      <c r="L14" s="22"/>
      <c r="M14" s="42">
        <f>(ABS(G14)/Instruccions!B31*60)</f>
        <v>0</v>
      </c>
      <c r="N14" s="43">
        <f>(H14/Instruccions!B32*60)</f>
        <v>0</v>
      </c>
      <c r="O14" s="43">
        <f t="shared" si="2"/>
        <v>0</v>
      </c>
      <c r="P14" s="44" t="e">
        <f t="shared" si="3"/>
        <v>#N/A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6850</v>
      </c>
      <c r="D28" s="33"/>
    </row>
    <row r="29" spans="2:4" ht="19.5" customHeight="1">
      <c r="B29" s="8" t="s">
        <v>17</v>
      </c>
      <c r="C29" s="6">
        <f>SUM(I7:I27)</f>
        <v>346.5980952380952</v>
      </c>
      <c r="D29" s="34">
        <f>C29/60</f>
        <v>5.77663492063492</v>
      </c>
    </row>
    <row r="30" spans="2:4" ht="19.5" customHeight="1">
      <c r="B30" s="8" t="s">
        <v>18</v>
      </c>
      <c r="C30" s="6">
        <f>SUMIF(G7:G27,"&gt;0",G7:G27)</f>
        <v>1301</v>
      </c>
      <c r="D30" s="35"/>
    </row>
    <row r="31" spans="2:4" ht="17.25" customHeight="1" thickBot="1">
      <c r="B31" s="9" t="s">
        <v>19</v>
      </c>
      <c r="C31" s="7">
        <f>SUMIF(G7:G27,"&lt;0",G7:G27)</f>
        <v>0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K7:K26 P7:P25 H7:H26 M7:O26 C7 E7:E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4500</v>
      </c>
      <c r="C32" s="51">
        <v>4000</v>
      </c>
    </row>
    <row r="33" spans="1:3" ht="13.5">
      <c r="A33" s="53" t="s">
        <v>10</v>
      </c>
      <c r="B33" s="55">
        <v>40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2007-08-15T20:39:45Z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