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<sst xmlns="http://schemas.openxmlformats.org/spreadsheetml/2006/main" count="66" uniqueCount="64">
  <si>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</si>
  <si>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</si>
  <si>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</si>
  <si>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</si>
  <si>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</si>
  <si>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</si>
  <si>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</si>
  <si>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</si>
  <si>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</si>
  <si>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</si>
  <si>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</si>
  <si>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</si>
  <si>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</si>
  <si>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</si>
  <si>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</si>
  <si>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</si>
  <si>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</si>
  <si>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</si>
  <si>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</si>
  <si>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</si>
  <si>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</si>
  <si>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</si>
  <si>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</si>
  <si>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</si>
  <si>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</si>
  <si>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</si>
  <si>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</si>
  <si>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</si>
  <si>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</si>
  <si>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</si>
  <si>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</si>
  <si>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</si>
  <si>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</si>
  <si>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</si>
  <si>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</si>
  <si>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</si>
  <si>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</si>
  <si>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</si>
  <si>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</si>
  <si>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</si>
  <si>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</si>
  <si>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</si>
  <si>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</si>
  <si>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</si>
  <si>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</si>
  <si>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</si>
  <si>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</si>
  <si>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</si>
  <si>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</si>
  <si>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</si>
  <si>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</si>
  <si>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</si>
  <si>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</si>
  <si>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Collada de Fontalba</t>
  </si>
  <si>
    <t>Puigmal</t>
  </si>
  <si>
    <t>coll de Fontalba</t>
  </si>
  <si>
    <t>Puigmal des de Fontalba (volta per Finestrelles)</t>
  </si>
  <si>
    <t>forat de l'embut</t>
  </si>
  <si>
    <t>Nuria</t>
  </si>
  <si>
    <t>Collada de Fontalba (Final)</t>
  </si>
  <si>
    <t>prop del cim de la Dou. Parada de 10 minuts</t>
  </si>
  <si>
    <t>Parada de 35 minuts, esmorzar</t>
  </si>
  <si>
    <t>Baixem pel Pla de l'Ortigar fins a Núria, sense baixar fins a Núria agafem el camí de la canal i les coves.</t>
  </si>
  <si>
    <t>El camí de les canals i les coves puja a la cova de Sant Gil i és un mirador espèndit de Núria. Parada de 25 minuts per dinar. Fontalba-Núria 1.30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</si>
</sst>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2250</c:v>
                </c:pt>
                <c:pt idx="2">
                  <c:v>4250</c:v>
                </c:pt>
                <c:pt idx="3">
                  <c:v>6750</c:v>
                </c:pt>
                <c:pt idx="4">
                  <c:v>8250</c:v>
                </c:pt>
                <c:pt idx="5">
                  <c:v>12750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2074</c:v>
                </c:pt>
                <c:pt idx="1">
                  <c:v>2450</c:v>
                </c:pt>
                <c:pt idx="2">
                  <c:v>2910</c:v>
                </c:pt>
                <c:pt idx="3">
                  <c:v>2200</c:v>
                </c:pt>
                <c:pt idx="4">
                  <c:v>1960</c:v>
                </c:pt>
                <c:pt idx="5">
                  <c:v>2074</c:v>
                </c:pt>
              </c:numCache>
            </c:numRef>
          </c:yVal>
          <c:smooth val="1"/>
        </c:ser>
        <c:axId val="32543906"/>
        <c:axId val="24459699"/>
      </c:scatterChart>
      <c:valAx>
        <c:axId val="3254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9699"/>
        <c:crosses val="autoZero"/>
        <c:crossBetween val="midCat"/>
        <c:dispUnits/>
      </c:valAx>
      <c:valAx>
        <c:axId val="24459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4390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zoomScale="110" zoomScaleNormal="110" workbookViewId="0" topLeftCell="A4">
      <selection activeCell="K11" sqref="K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56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Collada de Fontalba</v>
      </c>
      <c r="E6" s="56">
        <f>C7</f>
        <v>2074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2074</v>
      </c>
      <c r="D7" s="11" t="s">
        <v>55</v>
      </c>
      <c r="E7" s="12">
        <v>2450</v>
      </c>
      <c r="F7" s="13">
        <v>286</v>
      </c>
      <c r="G7" s="14">
        <f>E7-C7</f>
        <v>376</v>
      </c>
      <c r="H7" s="12">
        <v>2250</v>
      </c>
      <c r="I7" s="14">
        <f>IF(G7&gt;=0,O7*(100+Instruccions!B33)/100,(O7*2/3)*(100+Instruccions!B33)/100)</f>
        <v>90.87</v>
      </c>
      <c r="J7" s="14">
        <f>I7</f>
        <v>90.87</v>
      </c>
      <c r="K7" s="19">
        <v>55</v>
      </c>
      <c r="L7" s="15" t="s">
        <v>60</v>
      </c>
      <c r="M7" s="42">
        <f>(ABS(G7)/Instruccions!B31*60)</f>
        <v>56.4</v>
      </c>
      <c r="N7" s="43">
        <f>(H7/Instruccions!B32*60)</f>
        <v>27</v>
      </c>
      <c r="O7" s="43">
        <f>IF(M7&gt;=N7,M7+(N7/2),N7+(M7/2))</f>
        <v>69.9</v>
      </c>
      <c r="P7" s="44">
        <f>H7</f>
        <v>2250</v>
      </c>
    </row>
    <row r="8" spans="2:16" ht="19.5" customHeight="1">
      <c r="B8" s="16" t="str">
        <f>IF(D7="","",IF(ISERROR(SEARCH("Final",D7))=TRUE,D7,""))</f>
        <v>coll de Fontalba</v>
      </c>
      <c r="C8" s="17">
        <f aca="true" t="shared" si="0" ref="C8:C16">IF(B8="",0,E7)</f>
        <v>2450</v>
      </c>
      <c r="D8" s="18" t="s">
        <v>54</v>
      </c>
      <c r="E8" s="12">
        <v>2910</v>
      </c>
      <c r="F8" s="13">
        <v>324</v>
      </c>
      <c r="G8" s="14">
        <f>E8-C8</f>
        <v>460</v>
      </c>
      <c r="H8" s="12">
        <v>2000</v>
      </c>
      <c r="I8" s="14">
        <f>IF(G8&gt;=0,O8*(100+Instruccions!B34)/100,(O8*2/3)*(100+Instruccions!B34)/100)</f>
        <v>81</v>
      </c>
      <c r="J8" s="21">
        <f aca="true" t="shared" si="1" ref="J8:J26">IF(I8=0,0,I8+J7)</f>
        <v>171.87</v>
      </c>
      <c r="K8" s="19">
        <v>130</v>
      </c>
      <c r="L8" s="15" t="s">
        <v>61</v>
      </c>
      <c r="M8" s="42">
        <f>(ABS(G8)/Instruccions!B31*60)</f>
        <v>69</v>
      </c>
      <c r="N8" s="43">
        <f>(H8/Instruccions!B32*60)</f>
        <v>24</v>
      </c>
      <c r="O8" s="43">
        <f aca="true" t="shared" si="2" ref="O8:O26">IF(M8&gt;=N8,M8+(N8/2),N8+(M8/2))</f>
        <v>81</v>
      </c>
      <c r="P8" s="44">
        <f aca="true" t="shared" si="3" ref="P8:P26">IF(H8=0,NA(),H8+P7)</f>
        <v>4250</v>
      </c>
    </row>
    <row r="9" spans="2:16" ht="19.5" customHeight="1">
      <c r="B9" s="16" t="str">
        <f aca="true" t="shared" si="4" ref="B9:B26">IF(D8="","",IF(ISERROR(SEARCH("Final",D8))=TRUE,D8,""))</f>
        <v>Puigmal</v>
      </c>
      <c r="C9" s="17">
        <f t="shared" si="0"/>
        <v>2910</v>
      </c>
      <c r="D9" s="18" t="s">
        <v>57</v>
      </c>
      <c r="E9" s="19">
        <v>2200</v>
      </c>
      <c r="F9" s="20">
        <v>48</v>
      </c>
      <c r="G9" s="21">
        <f aca="true" t="shared" si="5" ref="G9:G26">E9-C9</f>
        <v>-710</v>
      </c>
      <c r="H9" s="19">
        <v>2500</v>
      </c>
      <c r="I9" s="21">
        <f>IF(G9&gt;=0,O9*(100+Instruccions!B33)/100,(O9*2/3)*(100+Instruccions!B33)/100)</f>
        <v>105.3</v>
      </c>
      <c r="J9" s="21">
        <f t="shared" si="1"/>
        <v>277.17</v>
      </c>
      <c r="K9" s="19">
        <v>240</v>
      </c>
      <c r="L9" s="22"/>
      <c r="M9" s="42">
        <f>(ABS(G9)/Instruccions!B31*60)</f>
        <v>106.5</v>
      </c>
      <c r="N9" s="43">
        <f>(H9/Instruccions!B32*60)</f>
        <v>30</v>
      </c>
      <c r="O9" s="43">
        <f t="shared" si="2"/>
        <v>121.5</v>
      </c>
      <c r="P9" s="44">
        <f t="shared" si="3"/>
        <v>6750</v>
      </c>
    </row>
    <row r="10" spans="2:16" ht="19.5" customHeight="1">
      <c r="B10" s="16" t="str">
        <f t="shared" si="4"/>
        <v>forat de l'embut</v>
      </c>
      <c r="C10" s="17">
        <f t="shared" si="0"/>
        <v>2200</v>
      </c>
      <c r="D10" s="18" t="s">
        <v>58</v>
      </c>
      <c r="E10" s="19">
        <v>1960</v>
      </c>
      <c r="F10" s="20">
        <v>96</v>
      </c>
      <c r="G10" s="21">
        <f>E10-C10</f>
        <v>-240</v>
      </c>
      <c r="H10" s="19">
        <v>1500</v>
      </c>
      <c r="I10" s="21">
        <f>IF(G10&gt;=0,O10*(100+Instruccions!B33)/100,(O10*2/3)*(100+Instruccions!B33)/100)</f>
        <v>39</v>
      </c>
      <c r="J10" s="21">
        <f t="shared" si="1"/>
        <v>316.17</v>
      </c>
      <c r="K10" s="19">
        <v>270</v>
      </c>
      <c r="L10" s="22" t="s">
        <v>62</v>
      </c>
      <c r="M10" s="42">
        <f>(ABS(G10)/Instruccions!B31*60)</f>
        <v>36</v>
      </c>
      <c r="N10" s="43">
        <f>(H10/Instruccions!B32*60)</f>
        <v>18</v>
      </c>
      <c r="O10" s="43">
        <f t="shared" si="2"/>
        <v>45</v>
      </c>
      <c r="P10" s="44">
        <f t="shared" si="3"/>
        <v>8250</v>
      </c>
    </row>
    <row r="11" spans="2:16" ht="19.5" customHeight="1">
      <c r="B11" s="16" t="str">
        <f>IF(D10="","",IF(ISERROR(SEARCH("Final",D10))=TRUE,D10,""))</f>
        <v>Nuria</v>
      </c>
      <c r="C11" s="17">
        <f>IF(B11="",0,E10)</f>
        <v>1960</v>
      </c>
      <c r="D11" s="18" t="s">
        <v>59</v>
      </c>
      <c r="E11" s="19">
        <v>2074</v>
      </c>
      <c r="F11" s="57">
        <v>180</v>
      </c>
      <c r="G11" s="21">
        <f>E11-C11</f>
        <v>114</v>
      </c>
      <c r="H11" s="19">
        <v>4500</v>
      </c>
      <c r="I11" s="21">
        <f>IF(G11&gt;=0,O11*(100+Instruccions!B33)/100,(O11*2/3)*(100+Instruccions!B33)/100)</f>
        <v>81.315</v>
      </c>
      <c r="J11" s="21">
        <f t="shared" si="1"/>
        <v>397.485</v>
      </c>
      <c r="K11" s="19">
        <v>420</v>
      </c>
      <c r="L11" s="22" t="s">
        <v>63</v>
      </c>
      <c r="M11" s="42">
        <f>(ABS(G11)/Instruccions!B31*60)</f>
        <v>17.099999999999998</v>
      </c>
      <c r="N11" s="43">
        <f>(H11/Instruccions!B32*60)</f>
        <v>54</v>
      </c>
      <c r="O11" s="43">
        <f t="shared" si="2"/>
        <v>62.55</v>
      </c>
      <c r="P11" s="44">
        <f t="shared" si="3"/>
        <v>12750</v>
      </c>
    </row>
    <row r="12" spans="2:16" ht="19.5" customHeight="1">
      <c r="B12" s="16">
        <f>IF(D11="","",IF(ISERROR(SEARCH("Final",D11))=TRUE,D11,""))</f>
      </c>
      <c r="C12" s="17">
        <f>IF(B12="",0,E11)</f>
        <v>0</v>
      </c>
      <c r="D12" s="18"/>
      <c r="E12" s="19"/>
      <c r="F12" s="20"/>
      <c r="G12" s="21">
        <f t="shared" si="5"/>
        <v>0</v>
      </c>
      <c r="H12" s="19"/>
      <c r="I12" s="21">
        <f>IF(G12&gt;=0,O12*(100+Instruccions!B33)/100,(O12*2/3)*(100+Instruccions!B33)/100)</f>
        <v>0</v>
      </c>
      <c r="J12" s="21">
        <f t="shared" si="1"/>
        <v>0</v>
      </c>
      <c r="K12" s="19"/>
      <c r="L12" s="22"/>
      <c r="M12" s="42">
        <f>(ABS(G12)/Instruccions!B31*60)</f>
        <v>0</v>
      </c>
      <c r="N12" s="43">
        <f>(H12/Instruccions!B32*60)</f>
        <v>0</v>
      </c>
      <c r="O12" s="43">
        <f t="shared" si="2"/>
        <v>0</v>
      </c>
      <c r="P12" s="44" t="e">
        <f t="shared" si="3"/>
        <v>#N/A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>E13-C13</f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>IF(D13="","",IF(ISERROR(SEARCH("Final",D13))=TRUE,D13,""))</f>
      </c>
      <c r="C14" s="17">
        <f>IF(B14="",0,E13)</f>
        <v>0</v>
      </c>
      <c r="D14" s="18"/>
      <c r="E14" s="19"/>
      <c r="F14" s="20"/>
      <c r="G14" s="21">
        <f>E14-C14</f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>IF(D14="","",IF(ISERROR(SEARCH("Final",D14))=TRUE,D14,""))</f>
      </c>
      <c r="C15" s="17">
        <f>IF(B15="",0,E14)</f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12750</v>
      </c>
      <c r="D28" s="33"/>
    </row>
    <row r="29" spans="2:4" ht="19.5" customHeight="1">
      <c r="B29" s="8" t="s">
        <v>17</v>
      </c>
      <c r="C29" s="6">
        <f>SUM(I7:I27)</f>
        <v>397.485</v>
      </c>
      <c r="D29" s="34">
        <f>C29/60</f>
        <v>6.624750000000001</v>
      </c>
    </row>
    <row r="30" spans="2:4" ht="19.5" customHeight="1">
      <c r="B30" s="8" t="s">
        <v>18</v>
      </c>
      <c r="C30" s="6">
        <f>SUMIF(G7:G27,"&gt;0",G7:G27)</f>
        <v>950</v>
      </c>
      <c r="D30" s="35"/>
    </row>
    <row r="31" spans="2:4" ht="17.25" customHeight="1" thickBot="1">
      <c r="B31" s="9" t="s">
        <v>19</v>
      </c>
      <c r="C31" s="7">
        <f>SUMIF(G7:G27,"&lt;0",G7:G27)</f>
        <v>-950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2007-09-16T17:10:09Z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