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<sst xmlns="http://schemas.openxmlformats.org/spreadsheetml/2006/main" count="70" uniqueCount="68">
  <si>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</si>
  <si>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</si>
  <si>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</si>
  <si>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</si>
  <si>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</si>
  <si>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</si>
  <si>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</si>
  <si>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</si>
  <si>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</si>
  <si>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</si>
  <si>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</si>
  <si>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</si>
  <si>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</si>
  <si>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</si>
  <si>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</si>
  <si>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</si>
  <si>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</si>
  <si>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</si>
  <si>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</si>
  <si>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</si>
  <si>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</si>
  <si>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</si>
  <si>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</si>
  <si>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</si>
  <si>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</si>
  <si>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</si>
  <si>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</si>
  <si>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</si>
  <si>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</si>
  <si>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</si>
  <si>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</si>
  <si>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</si>
  <si>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</si>
  <si>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</si>
  <si>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</si>
  <si>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</si>
  <si>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</si>
  <si>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</si>
  <si>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</si>
  <si>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</si>
  <si>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</si>
  <si>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</si>
  <si>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</si>
  <si>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</si>
  <si>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</si>
  <si>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</si>
  <si>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</si>
  <si>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</si>
  <si>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</si>
  <si>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</si>
  <si>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</si>
  <si>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</si>
  <si>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</si>
  <si>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SADERNES - ROCABRUNA</t>
  </si>
  <si>
    <t>Sadernes</t>
  </si>
  <si>
    <t>pont de valentí</t>
  </si>
  <si>
    <t>Talaixà</t>
  </si>
  <si>
    <t xml:space="preserve">Sant Marc </t>
  </si>
  <si>
    <t>coll</t>
  </si>
  <si>
    <t>Puig  de les bruixes</t>
  </si>
  <si>
    <t>Comanegre</t>
  </si>
  <si>
    <t>camí punt més baix</t>
  </si>
  <si>
    <t>collada fonda 1</t>
  </si>
  <si>
    <t>coll malrem</t>
  </si>
  <si>
    <t>Rocabruna (Final)</t>
  </si>
  <si>
    <t>abans de desviar esquerre</t>
  </si>
  <si>
    <t>punt abans de girar esquerre</t>
  </si>
  <si>
    <t>creuament carretera Beget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</si>
</sst>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7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4500</c:v>
                </c:pt>
                <c:pt idx="3">
                  <c:v>6500</c:v>
                </c:pt>
                <c:pt idx="4">
                  <c:v>7000</c:v>
                </c:pt>
                <c:pt idx="5">
                  <c:v>7600</c:v>
                </c:pt>
                <c:pt idx="6">
                  <c:v>8600</c:v>
                </c:pt>
                <c:pt idx="7">
                  <c:v>10100</c:v>
                </c:pt>
                <c:pt idx="8">
                  <c:v>10850</c:v>
                </c:pt>
                <c:pt idx="9">
                  <c:v>13100</c:v>
                </c:pt>
                <c:pt idx="10">
                  <c:v>13500</c:v>
                </c:pt>
                <c:pt idx="11">
                  <c:v>15000</c:v>
                </c:pt>
                <c:pt idx="12">
                  <c:v>16500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295</c:v>
                </c:pt>
                <c:pt idx="1">
                  <c:v>354</c:v>
                </c:pt>
                <c:pt idx="2">
                  <c:v>772</c:v>
                </c:pt>
                <c:pt idx="3">
                  <c:v>1327</c:v>
                </c:pt>
                <c:pt idx="4">
                  <c:v>1250</c:v>
                </c:pt>
                <c:pt idx="5">
                  <c:v>1393</c:v>
                </c:pt>
                <c:pt idx="6">
                  <c:v>1350</c:v>
                </c:pt>
                <c:pt idx="7">
                  <c:v>1561</c:v>
                </c:pt>
                <c:pt idx="8">
                  <c:v>1350</c:v>
                </c:pt>
                <c:pt idx="9">
                  <c:v>1140</c:v>
                </c:pt>
                <c:pt idx="10">
                  <c:v>1300</c:v>
                </c:pt>
                <c:pt idx="11">
                  <c:v>910</c:v>
                </c:pt>
                <c:pt idx="12">
                  <c:v>966</c:v>
                </c:pt>
              </c:numCache>
            </c:numRef>
          </c:yVal>
          <c:smooth val="1"/>
        </c:ser>
        <c:axId val="40726670"/>
        <c:axId val="30995711"/>
      </c:scatterChart>
      <c:valAx>
        <c:axId val="4072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5711"/>
        <c:crosses val="autoZero"/>
        <c:crossBetween val="midCat"/>
        <c:dispUnits/>
      </c:valAx>
      <c:valAx>
        <c:axId val="3099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26670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11</xdr:col>
      <xdr:colOff>2066925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H19" sqref="H19"/>
    </sheetView>
  </sheetViews>
  <sheetFormatPr defaultColWidth="9.14062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31.8515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Sadernes</v>
      </c>
      <c r="E6" s="56">
        <f>C7</f>
        <v>295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295</v>
      </c>
      <c r="D7" s="11" t="s">
        <v>55</v>
      </c>
      <c r="E7" s="12">
        <v>354</v>
      </c>
      <c r="F7" s="13"/>
      <c r="G7" s="14">
        <f>E7-C7</f>
        <v>59</v>
      </c>
      <c r="H7" s="12">
        <v>2500</v>
      </c>
      <c r="I7" s="14">
        <f>IF(G7&gt;=0,O7*(100+Instruccions!B33)/100,(O7*2/3)*(100+Instruccions!B33)/100)</f>
        <v>44.7525</v>
      </c>
      <c r="J7" s="14">
        <f>I7</f>
        <v>44.7525</v>
      </c>
      <c r="K7" s="19"/>
      <c r="L7" s="15"/>
      <c r="M7" s="42">
        <f>(ABS(G7)/Instruccions!B31*60)</f>
        <v>8.85</v>
      </c>
      <c r="N7" s="43">
        <f>(H7/Instruccions!B32*60)</f>
        <v>30</v>
      </c>
      <c r="O7" s="43">
        <f>IF(M7&gt;=N7,M7+(N7/2),N7+(M7/2))</f>
        <v>34.425</v>
      </c>
      <c r="P7" s="44">
        <f>H7</f>
        <v>2500</v>
      </c>
    </row>
    <row r="8" spans="2:16" ht="19.5" customHeight="1">
      <c r="B8" s="16" t="str">
        <f>IF(D7="","",IF(ISERROR(SEARCH("Final",D7))=TRUE,D7,""))</f>
        <v>pont de valentí</v>
      </c>
      <c r="C8" s="17">
        <f aca="true" t="shared" si="0" ref="C8:C16">IF(B8="",0,E7)</f>
        <v>354</v>
      </c>
      <c r="D8" s="11" t="s">
        <v>56</v>
      </c>
      <c r="E8" s="12">
        <v>772</v>
      </c>
      <c r="F8" s="13"/>
      <c r="G8" s="14">
        <f>E8-C8</f>
        <v>418</v>
      </c>
      <c r="H8" s="12">
        <v>2000</v>
      </c>
      <c r="I8" s="14">
        <f>IF(G8&gt;=0,O8*(100+Instruccions!B34)/100,(O8*2/3)*(100+Instruccions!B34)/100)</f>
        <v>74.69999999999999</v>
      </c>
      <c r="J8" s="21">
        <f aca="true" t="shared" si="1" ref="J8:J26">IF(I8=0,0,I8+J7)</f>
        <v>119.45249999999999</v>
      </c>
      <c r="K8" s="19"/>
      <c r="L8" s="15"/>
      <c r="M8" s="42">
        <f>(ABS(G8)/Instruccions!B31*60)</f>
        <v>62.699999999999996</v>
      </c>
      <c r="N8" s="43">
        <f>(H8/Instruccions!B32*60)</f>
        <v>24</v>
      </c>
      <c r="O8" s="43">
        <f aca="true" t="shared" si="2" ref="O8:O26">IF(M8&gt;=N8,M8+(N8/2),N8+(M8/2))</f>
        <v>74.69999999999999</v>
      </c>
      <c r="P8" s="44">
        <f aca="true" t="shared" si="3" ref="P8:P26">IF(H8=0,NA(),H8+P7)</f>
        <v>4500</v>
      </c>
    </row>
    <row r="9" spans="2:16" ht="19.5" customHeight="1">
      <c r="B9" s="16" t="str">
        <f aca="true" t="shared" si="4" ref="B9:B26">IF(D8="","",IF(ISERROR(SEARCH("Final",D8))=TRUE,D8,""))</f>
        <v>Talaixà</v>
      </c>
      <c r="C9" s="17">
        <f t="shared" si="0"/>
        <v>772</v>
      </c>
      <c r="D9" s="18" t="s">
        <v>57</v>
      </c>
      <c r="E9" s="19">
        <v>1327</v>
      </c>
      <c r="F9" s="20"/>
      <c r="G9" s="21">
        <f aca="true" t="shared" si="5" ref="G9:G26">E9-C9</f>
        <v>555</v>
      </c>
      <c r="H9" s="19">
        <v>2000</v>
      </c>
      <c r="I9" s="21">
        <f>IF(G9&gt;=0,O9*(100+Instruccions!B33)/100,(O9*2/3)*(100+Instruccions!B33)/100)</f>
        <v>123.825</v>
      </c>
      <c r="J9" s="21">
        <f t="shared" si="1"/>
        <v>243.27749999999997</v>
      </c>
      <c r="K9" s="19"/>
      <c r="L9" s="22"/>
      <c r="M9" s="42">
        <f>(ABS(G9)/Instruccions!B31*60)</f>
        <v>83.25</v>
      </c>
      <c r="N9" s="43">
        <f>(H9/Instruccions!B32*60)</f>
        <v>24</v>
      </c>
      <c r="O9" s="43">
        <f t="shared" si="2"/>
        <v>95.25</v>
      </c>
      <c r="P9" s="44">
        <f t="shared" si="3"/>
        <v>6500</v>
      </c>
    </row>
    <row r="10" spans="2:16" ht="19.5" customHeight="1">
      <c r="B10" s="16" t="str">
        <f t="shared" si="4"/>
        <v>Sant Marc </v>
      </c>
      <c r="C10" s="17">
        <f t="shared" si="0"/>
        <v>1327</v>
      </c>
      <c r="D10" s="18" t="s">
        <v>58</v>
      </c>
      <c r="E10" s="19">
        <v>1250</v>
      </c>
      <c r="F10" s="20"/>
      <c r="G10" s="21">
        <f t="shared" si="5"/>
        <v>-77</v>
      </c>
      <c r="H10" s="19">
        <v>500</v>
      </c>
      <c r="I10" s="21">
        <f>IF(G10&gt;=0,O10*(100+Instruccions!B33)/100,(O10*2/3)*(100+Instruccions!B33)/100)</f>
        <v>12.610000000000003</v>
      </c>
      <c r="J10" s="21">
        <f t="shared" si="1"/>
        <v>255.8875</v>
      </c>
      <c r="K10" s="19"/>
      <c r="L10" s="22"/>
      <c r="M10" s="42">
        <f>(ABS(G10)/Instruccions!B31*60)</f>
        <v>11.55</v>
      </c>
      <c r="N10" s="43">
        <f>(H10/Instruccions!B32*60)</f>
        <v>6</v>
      </c>
      <c r="O10" s="43">
        <f t="shared" si="2"/>
        <v>14.55</v>
      </c>
      <c r="P10" s="44">
        <f t="shared" si="3"/>
        <v>7000</v>
      </c>
    </row>
    <row r="11" spans="2:16" ht="19.5" customHeight="1">
      <c r="B11" s="16" t="str">
        <f t="shared" si="4"/>
        <v>coll</v>
      </c>
      <c r="C11" s="17">
        <f t="shared" si="0"/>
        <v>1250</v>
      </c>
      <c r="D11" s="18" t="s">
        <v>59</v>
      </c>
      <c r="E11" s="19">
        <v>1393</v>
      </c>
      <c r="F11" s="20"/>
      <c r="G11" s="21">
        <f t="shared" si="5"/>
        <v>143</v>
      </c>
      <c r="H11" s="19">
        <v>600</v>
      </c>
      <c r="I11" s="21">
        <f>IF(G11&gt;=0,O11*(100+Instruccions!B33)/100,(O11*2/3)*(100+Instruccions!B33)/100)</f>
        <v>32.565</v>
      </c>
      <c r="J11" s="21">
        <f t="shared" si="1"/>
        <v>288.4525</v>
      </c>
      <c r="K11" s="19"/>
      <c r="L11" s="22"/>
      <c r="M11" s="42">
        <f>(ABS(G11)/Instruccions!B31*60)</f>
        <v>21.45</v>
      </c>
      <c r="N11" s="43">
        <f>(H11/Instruccions!B32*60)</f>
        <v>7.199999999999999</v>
      </c>
      <c r="O11" s="43">
        <f t="shared" si="2"/>
        <v>25.049999999999997</v>
      </c>
      <c r="P11" s="44">
        <f t="shared" si="3"/>
        <v>7600</v>
      </c>
    </row>
    <row r="12" spans="2:16" ht="19.5" customHeight="1">
      <c r="B12" s="16" t="str">
        <f t="shared" si="4"/>
        <v>Puig  de les bruixes</v>
      </c>
      <c r="C12" s="17">
        <f t="shared" si="0"/>
        <v>1393</v>
      </c>
      <c r="D12" s="18" t="s">
        <v>61</v>
      </c>
      <c r="E12" s="19">
        <v>1350</v>
      </c>
      <c r="F12" s="20"/>
      <c r="G12" s="21">
        <f t="shared" si="5"/>
        <v>-43</v>
      </c>
      <c r="H12" s="19">
        <v>1000</v>
      </c>
      <c r="I12" s="21">
        <f>IF(G12&gt;=0,O12*(100+Instruccions!B33)/100,(O12*2/3)*(100+Instruccions!B33)/100)</f>
        <v>13.195</v>
      </c>
      <c r="J12" s="21">
        <f t="shared" si="1"/>
        <v>301.6475</v>
      </c>
      <c r="K12" s="19"/>
      <c r="L12" s="22"/>
      <c r="M12" s="42">
        <f>(ABS(G12)/Instruccions!B31*60)</f>
        <v>6.45</v>
      </c>
      <c r="N12" s="43">
        <f>(H12/Instruccions!B32*60)</f>
        <v>12</v>
      </c>
      <c r="O12" s="43">
        <f t="shared" si="2"/>
        <v>15.225</v>
      </c>
      <c r="P12" s="44">
        <f t="shared" si="3"/>
        <v>8600</v>
      </c>
    </row>
    <row r="13" spans="2:16" ht="19.5" customHeight="1">
      <c r="B13" s="16" t="str">
        <f t="shared" si="4"/>
        <v>camí punt més baix</v>
      </c>
      <c r="C13" s="17">
        <f t="shared" si="0"/>
        <v>1350</v>
      </c>
      <c r="D13" s="18" t="s">
        <v>60</v>
      </c>
      <c r="E13" s="19">
        <v>1561</v>
      </c>
      <c r="F13" s="20"/>
      <c r="G13" s="21">
        <f t="shared" si="5"/>
        <v>211</v>
      </c>
      <c r="H13" s="19">
        <v>1500</v>
      </c>
      <c r="I13" s="21">
        <f>IF(G13&gt;=0,O13*(100+Instruccions!B33)/100,(O13*2/3)*(100+Instruccions!B33)/100)</f>
        <v>52.845</v>
      </c>
      <c r="J13" s="21">
        <f t="shared" si="1"/>
        <v>354.49249999999995</v>
      </c>
      <c r="K13" s="19"/>
      <c r="L13" s="22"/>
      <c r="M13" s="42">
        <f>(ABS(G13)/Instruccions!B31*60)</f>
        <v>31.65</v>
      </c>
      <c r="N13" s="43">
        <f>(H13/Instruccions!B32*60)</f>
        <v>18</v>
      </c>
      <c r="O13" s="43">
        <f t="shared" si="2"/>
        <v>40.65</v>
      </c>
      <c r="P13" s="44">
        <f t="shared" si="3"/>
        <v>10100</v>
      </c>
    </row>
    <row r="14" spans="2:16" ht="19.5" customHeight="1">
      <c r="B14" s="16" t="str">
        <f t="shared" si="4"/>
        <v>Comanegre</v>
      </c>
      <c r="C14" s="17">
        <f t="shared" si="0"/>
        <v>1561</v>
      </c>
      <c r="D14" s="18" t="s">
        <v>62</v>
      </c>
      <c r="E14" s="19">
        <v>1350</v>
      </c>
      <c r="F14" s="20"/>
      <c r="G14" s="21">
        <f t="shared" si="5"/>
        <v>-211</v>
      </c>
      <c r="H14" s="19">
        <v>750</v>
      </c>
      <c r="I14" s="21">
        <f>IF(G14&gt;=0,O14*(100+Instruccions!B33)/100,(O14*2/3)*(100+Instruccions!B33)/100)</f>
        <v>31.329999999999995</v>
      </c>
      <c r="J14" s="21">
        <f t="shared" si="1"/>
        <v>385.82249999999993</v>
      </c>
      <c r="K14" s="19"/>
      <c r="L14" s="22"/>
      <c r="M14" s="42">
        <f>(ABS(G14)/Instruccions!B31*60)</f>
        <v>31.65</v>
      </c>
      <c r="N14" s="43">
        <f>(H14/Instruccions!B32*60)</f>
        <v>9</v>
      </c>
      <c r="O14" s="43">
        <f t="shared" si="2"/>
        <v>36.15</v>
      </c>
      <c r="P14" s="44">
        <f t="shared" si="3"/>
        <v>10850</v>
      </c>
    </row>
    <row r="15" spans="2:16" ht="19.5" customHeight="1">
      <c r="B15" s="16" t="str">
        <f t="shared" si="4"/>
        <v>collada fonda 1</v>
      </c>
      <c r="C15" s="17">
        <f t="shared" si="0"/>
        <v>1350</v>
      </c>
      <c r="D15" s="18" t="s">
        <v>63</v>
      </c>
      <c r="E15" s="19">
        <v>1140</v>
      </c>
      <c r="F15" s="20"/>
      <c r="G15" s="21">
        <f t="shared" si="5"/>
        <v>-210</v>
      </c>
      <c r="H15" s="19">
        <v>2250</v>
      </c>
      <c r="I15" s="21">
        <f>IF(G15&gt;=0,O15*(100+Instruccions!B33)/100,(O15*2/3)*(100+Instruccions!B33)/100)</f>
        <v>39</v>
      </c>
      <c r="J15" s="21">
        <f t="shared" si="1"/>
        <v>424.82249999999993</v>
      </c>
      <c r="K15" s="19"/>
      <c r="L15" s="22"/>
      <c r="M15" s="42">
        <f>(ABS(G15)/Instruccions!B31*60)</f>
        <v>31.5</v>
      </c>
      <c r="N15" s="43">
        <f>(H15/Instruccions!B32*60)</f>
        <v>27</v>
      </c>
      <c r="O15" s="43">
        <f t="shared" si="2"/>
        <v>45</v>
      </c>
      <c r="P15" s="44">
        <f t="shared" si="3"/>
        <v>13100</v>
      </c>
    </row>
    <row r="16" spans="2:16" ht="19.5" customHeight="1">
      <c r="B16" s="16" t="str">
        <f t="shared" si="4"/>
        <v>coll malrem</v>
      </c>
      <c r="C16" s="17">
        <f t="shared" si="0"/>
        <v>1140</v>
      </c>
      <c r="D16" s="18" t="s">
        <v>66</v>
      </c>
      <c r="E16" s="19">
        <v>1300</v>
      </c>
      <c r="F16" s="20"/>
      <c r="G16" s="21">
        <f t="shared" si="5"/>
        <v>160</v>
      </c>
      <c r="H16" s="19">
        <v>400</v>
      </c>
      <c r="I16" s="21">
        <f>IF(G16&gt;=0,O16*(100+Instruccions!B33)/100,(O16*2/3)*(100+Instruccions!B33)/100)</f>
        <v>34.32</v>
      </c>
      <c r="J16" s="21">
        <f t="shared" si="1"/>
        <v>459.1424999999999</v>
      </c>
      <c r="K16" s="19"/>
      <c r="L16" s="22" t="s">
        <v>65</v>
      </c>
      <c r="M16" s="42">
        <f>(ABS(G16)/Instruccions!B31*60)</f>
        <v>24</v>
      </c>
      <c r="N16" s="43">
        <f>(H16/Instruccions!B32*60)</f>
        <v>4.8</v>
      </c>
      <c r="O16" s="43">
        <f t="shared" si="2"/>
        <v>26.4</v>
      </c>
      <c r="P16" s="44">
        <f t="shared" si="3"/>
        <v>13500</v>
      </c>
    </row>
    <row r="17" spans="2:16" ht="19.5" customHeight="1">
      <c r="B17" s="16" t="str">
        <f t="shared" si="4"/>
        <v>punt abans de girar esquerre</v>
      </c>
      <c r="C17" s="17">
        <f>IF(B17="",0,E16)</f>
        <v>1300</v>
      </c>
      <c r="D17" s="20" t="s">
        <v>67</v>
      </c>
      <c r="E17" s="19">
        <v>910</v>
      </c>
      <c r="F17" s="20"/>
      <c r="G17" s="21">
        <f t="shared" si="5"/>
        <v>-390</v>
      </c>
      <c r="H17" s="19">
        <v>1500</v>
      </c>
      <c r="I17" s="21">
        <f>IF(G17&gt;=0,O17*(100+Instruccions!B33)/100,(O17*2/3)*(100+Instruccions!B33)/100)</f>
        <v>58.5</v>
      </c>
      <c r="J17" s="21">
        <f t="shared" si="1"/>
        <v>517.6424999999999</v>
      </c>
      <c r="K17" s="19"/>
      <c r="L17" s="22"/>
      <c r="M17" s="42">
        <f>(ABS(G17)/Instruccions!B31*60)</f>
        <v>58.5</v>
      </c>
      <c r="N17" s="43">
        <f>(H17/Instruccions!B32*60)</f>
        <v>18</v>
      </c>
      <c r="O17" s="43">
        <f t="shared" si="2"/>
        <v>67.5</v>
      </c>
      <c r="P17" s="44">
        <f t="shared" si="3"/>
        <v>15000</v>
      </c>
    </row>
    <row r="18" spans="2:16" ht="19.5" customHeight="1">
      <c r="B18" s="16" t="str">
        <f t="shared" si="4"/>
        <v>creuament carretera Beget</v>
      </c>
      <c r="C18" s="17">
        <f aca="true" t="shared" si="6" ref="C18:C26">IF(B18="",0,E17)</f>
        <v>910</v>
      </c>
      <c r="D18" s="20" t="s">
        <v>64</v>
      </c>
      <c r="E18" s="19">
        <v>966</v>
      </c>
      <c r="F18" s="20"/>
      <c r="G18" s="21">
        <f t="shared" si="5"/>
        <v>56</v>
      </c>
      <c r="H18" s="19">
        <v>1500</v>
      </c>
      <c r="I18" s="21">
        <f>IF(G18&gt;=0,O18*(100+Instruccions!B33)/100,(O18*2/3)*(100+Instruccions!B33)/100)</f>
        <v>28.86</v>
      </c>
      <c r="J18" s="21">
        <f t="shared" si="1"/>
        <v>546.5024999999999</v>
      </c>
      <c r="K18" s="19"/>
      <c r="L18" s="22"/>
      <c r="M18" s="42">
        <f>(ABS(G18)/Instruccions!B31*60)</f>
        <v>8.4</v>
      </c>
      <c r="N18" s="43">
        <f>(H18/Instruccions!B32*60)</f>
        <v>18</v>
      </c>
      <c r="O18" s="43">
        <f t="shared" si="2"/>
        <v>22.2</v>
      </c>
      <c r="P18" s="44">
        <f t="shared" si="3"/>
        <v>16500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16500</v>
      </c>
      <c r="D28" s="33"/>
    </row>
    <row r="29" spans="2:4" ht="19.5" customHeight="1">
      <c r="B29" s="8" t="s">
        <v>17</v>
      </c>
      <c r="C29" s="6">
        <f>SUM(I7:I27)</f>
        <v>546.5024999999999</v>
      </c>
      <c r="D29" s="34">
        <f>C29/60</f>
        <v>9.108374999999999</v>
      </c>
    </row>
    <row r="30" spans="2:4" ht="19.5" customHeight="1">
      <c r="B30" s="8" t="s">
        <v>18</v>
      </c>
      <c r="C30" s="6">
        <f>SUMIF(G7:G27,"&gt;0",G7:G27)</f>
        <v>1602</v>
      </c>
      <c r="D30" s="35"/>
    </row>
    <row r="31" spans="2:4" ht="19.5" customHeight="1" thickBot="1">
      <c r="B31" s="9" t="s">
        <v>19</v>
      </c>
      <c r="C31" s="7">
        <f>SUMIF(G7:G27,"&lt;0",G7:G27)</f>
        <v>-931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9.14062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jpadres</cp:lastModifiedBy>
  <cp:lastPrinted>2004-08-09T15:18:01Z</cp:lastPrinted>
  <dcterms:created xsi:type="dcterms:W3CDTF">2004-05-05T18:52:05Z</dcterms:created>
  <dcterms:modified xsi:type="dcterms:W3CDTF">2004-11-23T07:39:13Z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