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<sst xmlns="http://schemas.openxmlformats.org/spreadsheetml/2006/main" count="72" uniqueCount="68">
  <si>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</si>
  <si>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</si>
  <si>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</si>
  <si>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</si>
  <si>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</si>
  <si>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</si>
  <si>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</si>
  <si>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</si>
  <si>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</si>
  <si>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</si>
  <si>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</si>
  <si>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</si>
  <si>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</si>
  <si>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</si>
  <si>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</si>
  <si>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</si>
  <si>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</si>
  <si>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</si>
  <si>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</si>
  <si>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</si>
  <si>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</si>
  <si>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</si>
  <si>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</si>
  <si>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</si>
  <si>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</si>
  <si>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</si>
  <si>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</si>
  <si>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</si>
  <si>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</si>
  <si>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</si>
  <si>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</si>
  <si>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</si>
  <si>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</si>
  <si>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</si>
  <si>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</si>
  <si>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</si>
  <si>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</si>
  <si>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</si>
  <si>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</si>
  <si>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</si>
  <si>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</si>
  <si>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</si>
  <si>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</si>
  <si>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</si>
  <si>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</si>
  <si>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</si>
  <si>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</si>
  <si>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</si>
  <si>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</si>
  <si>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</si>
  <si>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</si>
  <si>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</si>
  <si>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</si>
  <si>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Hostal Vall del Bac</t>
  </si>
  <si>
    <t>Hostal Vall del Bac (Final)</t>
  </si>
  <si>
    <t>El Talló des de la Vall del Bac</t>
  </si>
  <si>
    <t>coll del Triadú</t>
  </si>
  <si>
    <t>Portell de les Roques</t>
  </si>
  <si>
    <t>El Talló</t>
  </si>
  <si>
    <t>collada de Resclusanys</t>
  </si>
  <si>
    <t>Passarem per la font de Resclusanys</t>
  </si>
  <si>
    <t>Coll de Resclusanys</t>
  </si>
  <si>
    <t>Sortida del Pont de Llongarriu. Després del pont obrim tanca a la dreta de la carretera, seguim paral·el al costat dret de la carretera uns 100m i trobarem un camí que puja força fresat en mig de boixos. Al cap de poc deixem camí a la dreta que porta a l'ermita de Sant Miquel de la Torre. A partir d'aquí hi ha marques blanques i grogues. Passem per casa relativament nova i deshabitada.</t>
  </si>
  <si>
    <t>Deixem Sant Andreu de Porreres a l'esquerre. A partir d'aquí les marques són blanques. Des del Coll del Triadú podirem anar al coll Joell. Passem pel veïnat de Porreres i el Triadú. Seguim camí al mateix nivell del veïnat.</t>
  </si>
  <si>
    <t>Busquem un camí a la dreta que hauria de pujar al Talló directe, però no el trobem.</t>
  </si>
  <si>
    <t>Parada de 30 minuts per esmorzar. Seguim marques taronjs i verdes que ens portaran a dalt del pic, pràcticament per la carena.</t>
  </si>
  <si>
    <t>Parada de 15 minuts per gaudir del paisatge. Les marques verdes i taronges segueixen segurament en direcció al coll de Faig (pendent confirmar)</t>
  </si>
  <si>
    <t>De baixada tot seguint les marques blanques agafem una variant del camí que ens porta al Triadú per unes lleixes una mica més amunt.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</si>
</sst>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1750</c:v>
                </c:pt>
                <c:pt idx="2">
                  <c:v>2750</c:v>
                </c:pt>
                <c:pt idx="3">
                  <c:v>3500</c:v>
                </c:pt>
                <c:pt idx="4">
                  <c:v>3950</c:v>
                </c:pt>
                <c:pt idx="5">
                  <c:v>4600</c:v>
                </c:pt>
                <c:pt idx="6">
                  <c:v>5150</c:v>
                </c:pt>
                <c:pt idx="7">
                  <c:v>6150</c:v>
                </c:pt>
                <c:pt idx="8">
                  <c:v>7900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580</c:v>
                </c:pt>
                <c:pt idx="1">
                  <c:v>882</c:v>
                </c:pt>
                <c:pt idx="2">
                  <c:v>1100</c:v>
                </c:pt>
                <c:pt idx="3">
                  <c:v>1276</c:v>
                </c:pt>
                <c:pt idx="4">
                  <c:v>1150</c:v>
                </c:pt>
                <c:pt idx="5">
                  <c:v>1133</c:v>
                </c:pt>
                <c:pt idx="6">
                  <c:v>1100</c:v>
                </c:pt>
                <c:pt idx="7">
                  <c:v>882</c:v>
                </c:pt>
                <c:pt idx="8">
                  <c:v>580</c:v>
                </c:pt>
              </c:numCache>
            </c:numRef>
          </c:yVal>
          <c:smooth val="1"/>
        </c:ser>
        <c:axId val="38861663"/>
        <c:axId val="10788556"/>
      </c:scatterChart>
      <c:valAx>
        <c:axId val="38861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88556"/>
        <c:crosses val="autoZero"/>
        <c:crossBetween val="midCat"/>
        <c:dispUnits/>
      </c:valAx>
      <c:valAx>
        <c:axId val="1078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61663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110" zoomScaleNormal="110" workbookViewId="0" topLeftCell="A1">
      <selection activeCell="D14" sqref="D14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55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Hostal Vall del Bac</v>
      </c>
      <c r="E6" s="56">
        <f>C7</f>
        <v>580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580</v>
      </c>
      <c r="D7" s="11" t="s">
        <v>56</v>
      </c>
      <c r="E7" s="12">
        <v>882</v>
      </c>
      <c r="F7" s="13">
        <v>320</v>
      </c>
      <c r="G7" s="14">
        <f>E7-C7</f>
        <v>302</v>
      </c>
      <c r="H7" s="12">
        <v>1750</v>
      </c>
      <c r="I7" s="14">
        <f>IF(G7&gt;=0,O7*(100+Instruccions!B33)/100,(O7*2/3)*(100+Instruccions!B33)/100)</f>
        <v>72.54</v>
      </c>
      <c r="J7" s="14">
        <f>I7</f>
        <v>72.54</v>
      </c>
      <c r="K7" s="19">
        <v>40</v>
      </c>
      <c r="L7" s="15" t="s">
        <v>62</v>
      </c>
      <c r="M7" s="42">
        <f>(ABS(G7)/Instruccions!B31*60)</f>
        <v>45.3</v>
      </c>
      <c r="N7" s="43">
        <f>(H7/Instruccions!B32*60)</f>
        <v>21</v>
      </c>
      <c r="O7" s="43">
        <f>IF(M7&gt;=N7,M7+(N7/2),N7+(M7/2))</f>
        <v>55.8</v>
      </c>
      <c r="P7" s="44">
        <f>H7</f>
        <v>1750</v>
      </c>
    </row>
    <row r="8" spans="2:16" ht="19.5" customHeight="1">
      <c r="B8" s="16" t="str">
        <f>IF(D7="","",IF(ISERROR(SEARCH("Final",D7))=TRUE,D7,""))</f>
        <v>coll del Triadú</v>
      </c>
      <c r="C8" s="17">
        <f aca="true" t="shared" si="0" ref="C8:C16">IF(B8="",0,E7)</f>
        <v>882</v>
      </c>
      <c r="D8" s="11" t="s">
        <v>57</v>
      </c>
      <c r="E8" s="12">
        <v>1100</v>
      </c>
      <c r="F8" s="13">
        <v>8</v>
      </c>
      <c r="G8" s="14">
        <f>E8-C8</f>
        <v>218</v>
      </c>
      <c r="H8" s="12">
        <v>1000</v>
      </c>
      <c r="I8" s="14">
        <f>IF(G8&gt;=0,O8*(100+Instruccions!B34)/100,(O8*2/3)*(100+Instruccions!B34)/100)</f>
        <v>38.7</v>
      </c>
      <c r="J8" s="21">
        <f aca="true" t="shared" si="1" ref="J8:J26">IF(I8=0,0,I8+J7)</f>
        <v>111.24000000000001</v>
      </c>
      <c r="K8" s="19">
        <v>70</v>
      </c>
      <c r="L8" s="15" t="s">
        <v>63</v>
      </c>
      <c r="M8" s="42">
        <f>(ABS(G8)/Instruccions!B31*60)</f>
        <v>32.7</v>
      </c>
      <c r="N8" s="43">
        <f>(H8/Instruccions!B32*60)</f>
        <v>12</v>
      </c>
      <c r="O8" s="43">
        <f aca="true" t="shared" si="2" ref="O8:O26">IF(M8&gt;=N8,M8+(N8/2),N8+(M8/2))</f>
        <v>38.7</v>
      </c>
      <c r="P8" s="44">
        <f aca="true" t="shared" si="3" ref="P8:P26">IF(H8=0,NA(),H8+P7)</f>
        <v>2750</v>
      </c>
    </row>
    <row r="9" spans="2:16" ht="19.5" customHeight="1">
      <c r="B9" s="16" t="str">
        <f aca="true" t="shared" si="4" ref="B9:B26">IF(D8="","",IF(ISERROR(SEARCH("Final",D8))=TRUE,D8,""))</f>
        <v>Portell de les Roques</v>
      </c>
      <c r="C9" s="17">
        <f t="shared" si="0"/>
        <v>1100</v>
      </c>
      <c r="D9" s="18" t="s">
        <v>61</v>
      </c>
      <c r="E9" s="19">
        <v>1133</v>
      </c>
      <c r="F9" s="20"/>
      <c r="G9" s="21">
        <f aca="true" t="shared" si="5" ref="G9:G26">E9-C9</f>
        <v>33</v>
      </c>
      <c r="H9" s="19">
        <v>550</v>
      </c>
      <c r="I9" s="21">
        <f>IF(G9&gt;=0,O9*(100+Instruccions!B33)/100,(O9*2/3)*(100+Instruccions!B33)/100)</f>
        <v>11.7975</v>
      </c>
      <c r="J9" s="21">
        <f t="shared" si="1"/>
        <v>123.03750000000001</v>
      </c>
      <c r="K9" s="19">
        <v>105</v>
      </c>
      <c r="L9" s="22" t="s">
        <v>64</v>
      </c>
      <c r="M9" s="42">
        <f>(ABS(G9)/Instruccions!B31*60)</f>
        <v>4.95</v>
      </c>
      <c r="N9" s="43">
        <f>(H9/Instruccions!B32*60)</f>
        <v>6.6</v>
      </c>
      <c r="O9" s="43">
        <f t="shared" si="2"/>
        <v>9.075</v>
      </c>
      <c r="P9" s="44">
        <f t="shared" si="3"/>
        <v>3300</v>
      </c>
    </row>
    <row r="10" spans="2:16" ht="19.5" customHeight="1">
      <c r="B10" s="16" t="str">
        <f t="shared" si="4"/>
        <v>Coll de Resclusanys</v>
      </c>
      <c r="C10" s="17">
        <f t="shared" si="0"/>
        <v>1133</v>
      </c>
      <c r="D10" s="18" t="s">
        <v>58</v>
      </c>
      <c r="E10" s="19">
        <v>1276</v>
      </c>
      <c r="F10" s="20"/>
      <c r="G10" s="21">
        <f t="shared" si="5"/>
        <v>143</v>
      </c>
      <c r="H10" s="19">
        <v>750</v>
      </c>
      <c r="I10" s="21">
        <f>IF(G10&gt;=0,O10*(100+Instruccions!B33)/100,(O10*2/3)*(100+Instruccions!B33)/100)</f>
        <v>33.735</v>
      </c>
      <c r="J10" s="21">
        <f t="shared" si="1"/>
        <v>156.7725</v>
      </c>
      <c r="K10" s="19">
        <v>155</v>
      </c>
      <c r="L10" s="22" t="s">
        <v>65</v>
      </c>
      <c r="M10" s="42">
        <f>(ABS(G10)/Instruccions!B31*60)</f>
        <v>21.45</v>
      </c>
      <c r="N10" s="43">
        <f>(H10/Instruccions!B32*60)</f>
        <v>9</v>
      </c>
      <c r="O10" s="43">
        <f t="shared" si="2"/>
        <v>25.95</v>
      </c>
      <c r="P10" s="44">
        <f t="shared" si="3"/>
        <v>4050</v>
      </c>
    </row>
    <row r="11" spans="2:16" ht="19.5" customHeight="1">
      <c r="B11" s="16" t="str">
        <f t="shared" si="4"/>
        <v>El Talló</v>
      </c>
      <c r="C11" s="17">
        <f t="shared" si="0"/>
        <v>1276</v>
      </c>
      <c r="D11" s="18" t="s">
        <v>59</v>
      </c>
      <c r="E11" s="19">
        <v>1133</v>
      </c>
      <c r="F11" s="57"/>
      <c r="G11" s="21">
        <f t="shared" si="5"/>
        <v>-143</v>
      </c>
      <c r="H11" s="19">
        <v>750</v>
      </c>
      <c r="I11" s="21">
        <f>IF(G11&gt;=0,O11*(100+Instruccions!B33)/100,(O11*2/3)*(100+Instruccions!B33)/100)</f>
        <v>22.49</v>
      </c>
      <c r="J11" s="21">
        <f t="shared" si="1"/>
        <v>179.26250000000002</v>
      </c>
      <c r="K11" s="19">
        <v>200</v>
      </c>
      <c r="L11" s="22" t="s">
        <v>66</v>
      </c>
      <c r="M11" s="42">
        <f>(ABS(G11)/Instruccions!B31*60)</f>
        <v>21.45</v>
      </c>
      <c r="N11" s="43">
        <f>(H11/Instruccions!B32*60)</f>
        <v>9</v>
      </c>
      <c r="O11" s="43">
        <f t="shared" si="2"/>
        <v>25.95</v>
      </c>
      <c r="P11" s="44">
        <f t="shared" si="3"/>
        <v>4800</v>
      </c>
    </row>
    <row r="12" spans="2:16" ht="19.5" customHeight="1">
      <c r="B12" s="16" t="str">
        <f t="shared" si="4"/>
        <v>collada de Resclusanys</v>
      </c>
      <c r="C12" s="17">
        <f t="shared" si="0"/>
        <v>1133</v>
      </c>
      <c r="D12" s="18" t="s">
        <v>57</v>
      </c>
      <c r="E12" s="19">
        <v>1100</v>
      </c>
      <c r="F12" s="20">
        <v>226</v>
      </c>
      <c r="G12" s="21">
        <f t="shared" si="5"/>
        <v>-33</v>
      </c>
      <c r="H12" s="19">
        <v>550</v>
      </c>
      <c r="I12" s="21">
        <f>IF(G12&gt;=0,O12*(100+Instruccions!B33)/100,(O12*2/3)*(100+Instruccions!B33)/100)</f>
        <v>7.865</v>
      </c>
      <c r="J12" s="21">
        <f t="shared" si="1"/>
        <v>187.12750000000003</v>
      </c>
      <c r="K12" s="19"/>
      <c r="L12" s="22" t="s">
        <v>60</v>
      </c>
      <c r="M12" s="42">
        <f>(ABS(G12)/Instruccions!B31*60)</f>
        <v>4.95</v>
      </c>
      <c r="N12" s="43">
        <f>(H12/Instruccions!B32*60)</f>
        <v>6.6</v>
      </c>
      <c r="O12" s="43">
        <f t="shared" si="2"/>
        <v>9.075</v>
      </c>
      <c r="P12" s="44">
        <f t="shared" si="3"/>
        <v>5350</v>
      </c>
    </row>
    <row r="13" spans="2:16" ht="19.5" customHeight="1">
      <c r="B13" s="16" t="str">
        <f t="shared" si="4"/>
        <v>Portell de les Roques</v>
      </c>
      <c r="C13" s="17">
        <f t="shared" si="0"/>
        <v>1100</v>
      </c>
      <c r="D13" s="18" t="s">
        <v>56</v>
      </c>
      <c r="E13" s="19">
        <v>882</v>
      </c>
      <c r="F13" s="20">
        <v>182</v>
      </c>
      <c r="G13" s="21">
        <f t="shared" si="5"/>
        <v>-218</v>
      </c>
      <c r="H13" s="19">
        <v>1000</v>
      </c>
      <c r="I13" s="21">
        <f>IF(G13&gt;=0,O13*(100+Instruccions!B33)/100,(O13*2/3)*(100+Instruccions!B33)/100)</f>
        <v>33.54</v>
      </c>
      <c r="J13" s="21">
        <f t="shared" si="1"/>
        <v>220.66750000000002</v>
      </c>
      <c r="K13" s="19">
        <v>240</v>
      </c>
      <c r="L13" s="22" t="s">
        <v>67</v>
      </c>
      <c r="M13" s="42">
        <f>(ABS(G13)/Instruccions!B31*60)</f>
        <v>32.7</v>
      </c>
      <c r="N13" s="43">
        <f>(H13/Instruccions!B32*60)</f>
        <v>12</v>
      </c>
      <c r="O13" s="43">
        <f t="shared" si="2"/>
        <v>38.7</v>
      </c>
      <c r="P13" s="44">
        <f t="shared" si="3"/>
        <v>6350</v>
      </c>
    </row>
    <row r="14" spans="2:16" ht="19.5" customHeight="1">
      <c r="B14" s="16" t="str">
        <f t="shared" si="4"/>
        <v>coll del Triadú</v>
      </c>
      <c r="C14" s="17">
        <f t="shared" si="0"/>
        <v>882</v>
      </c>
      <c r="D14" s="18" t="s">
        <v>54</v>
      </c>
      <c r="E14" s="19">
        <v>580</v>
      </c>
      <c r="F14" s="20">
        <v>140</v>
      </c>
      <c r="G14" s="21">
        <f t="shared" si="5"/>
        <v>-302</v>
      </c>
      <c r="H14" s="19">
        <v>1750</v>
      </c>
      <c r="I14" s="21">
        <f>IF(G14&gt;=0,O14*(100+Instruccions!B33)/100,(O14*2/3)*(100+Instruccions!B33)/100)</f>
        <v>48.35999999999999</v>
      </c>
      <c r="J14" s="21">
        <f t="shared" si="1"/>
        <v>269.02750000000003</v>
      </c>
      <c r="K14" s="19">
        <v>275</v>
      </c>
      <c r="L14" s="22"/>
      <c r="M14" s="42">
        <f>(ABS(G14)/Instruccions!B31*60)</f>
        <v>45.3</v>
      </c>
      <c r="N14" s="43">
        <f>(H14/Instruccions!B32*60)</f>
        <v>21</v>
      </c>
      <c r="O14" s="43">
        <f t="shared" si="2"/>
        <v>55.8</v>
      </c>
      <c r="P14" s="44">
        <f t="shared" si="3"/>
        <v>8100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8100</v>
      </c>
      <c r="D28" s="33"/>
    </row>
    <row r="29" spans="2:4" ht="19.5" customHeight="1">
      <c r="B29" s="8" t="s">
        <v>17</v>
      </c>
      <c r="C29" s="6">
        <f>SUM(I7:I27)</f>
        <v>269.02750000000003</v>
      </c>
      <c r="D29" s="34">
        <f>C29/60</f>
        <v>4.483791666666667</v>
      </c>
    </row>
    <row r="30" spans="2:4" ht="19.5" customHeight="1">
      <c r="B30" s="8" t="s">
        <v>18</v>
      </c>
      <c r="C30" s="6">
        <f>SUMIF(G7:G27,"&gt;0",G7:G27)</f>
        <v>696</v>
      </c>
      <c r="D30" s="35"/>
    </row>
    <row r="31" spans="2:4" ht="17.25" customHeight="1" thickBot="1">
      <c r="B31" s="9" t="s">
        <v>19</v>
      </c>
      <c r="C31" s="7">
        <f>SUMIF(G7:G27,"&lt;0",G7:G27)</f>
        <v>-696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2008-02-03T21:53:41Z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